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315" windowWidth="11355" windowHeight="7935" tabRatio="630" activeTab="0"/>
  </bookViews>
  <sheets>
    <sheet name="Title Page" sheetId="1" r:id="rId1"/>
    <sheet name="Instructions" sheetId="2" r:id="rId2"/>
    <sheet name="Basic Input Costs" sheetId="3" r:id="rId3"/>
    <sheet name="Budget Summary" sheetId="4" r:id="rId4"/>
    <sheet name="Machinery Inventory" sheetId="5" r:id="rId5"/>
    <sheet name="Machinery Cost" sheetId="6" r:id="rId6"/>
    <sheet name="Financial Cost" sheetId="7" r:id="rId7"/>
    <sheet name="Year 1 SOP" sheetId="8" r:id="rId8"/>
    <sheet name="Year 1 IS" sheetId="9" r:id="rId9"/>
    <sheet name="Year 2 SOP" sheetId="10" r:id="rId10"/>
    <sheet name="Year 2 IS" sheetId="11" r:id="rId11"/>
    <sheet name="Year 3 SOP" sheetId="12" r:id="rId12"/>
    <sheet name="Year 3 IS" sheetId="13" r:id="rId13"/>
    <sheet name="Year 4 SOP " sheetId="14" r:id="rId14"/>
    <sheet name="Year 4 IS" sheetId="15" r:id="rId15"/>
    <sheet name="Year 5 SOP" sheetId="16" r:id="rId16"/>
    <sheet name="Year 5 IS" sheetId="17" r:id="rId17"/>
    <sheet name="Year 6-15 SOP" sheetId="18" r:id="rId18"/>
    <sheet name="Year 6-15 IS " sheetId="19" r:id="rId19"/>
  </sheets>
  <definedNames/>
  <calcPr fullCalcOnLoad="1"/>
</workbook>
</file>

<file path=xl/sharedStrings.xml><?xml version="1.0" encoding="utf-8"?>
<sst xmlns="http://schemas.openxmlformats.org/spreadsheetml/2006/main" count="1214" uniqueCount="311">
  <si>
    <t>Operation</t>
  </si>
  <si>
    <t>Tooling</t>
  </si>
  <si>
    <t>Month</t>
  </si>
  <si>
    <t>Year</t>
  </si>
  <si>
    <t>Labor</t>
  </si>
  <si>
    <t>Hours</t>
  </si>
  <si>
    <t>Machine</t>
  </si>
  <si>
    <t>Total</t>
  </si>
  <si>
    <t>Fixed</t>
  </si>
  <si>
    <t>Cost</t>
  </si>
  <si>
    <t>Fuel</t>
  </si>
  <si>
    <t>Lube</t>
  </si>
  <si>
    <t>Repairs</t>
  </si>
  <si>
    <t>Service</t>
  </si>
  <si>
    <t>Interest</t>
  </si>
  <si>
    <t>Variable</t>
  </si>
  <si>
    <t>Machinery</t>
  </si>
  <si>
    <t>Purchase</t>
  </si>
  <si>
    <t>Price</t>
  </si>
  <si>
    <t xml:space="preserve">Years of </t>
  </si>
  <si>
    <t>Use</t>
  </si>
  <si>
    <t xml:space="preserve">Salvage </t>
  </si>
  <si>
    <t>Value</t>
  </si>
  <si>
    <t xml:space="preserve">Annual </t>
  </si>
  <si>
    <t>Hours of</t>
  </si>
  <si>
    <t>3/4 Ton Pickup</t>
  </si>
  <si>
    <t>Plow Moldboard</t>
  </si>
  <si>
    <t>13' Tandem Disk</t>
  </si>
  <si>
    <t>10' Rotary Mower</t>
  </si>
  <si>
    <t>1500 PTO Sprayer</t>
  </si>
  <si>
    <t>2-Row Lilliston</t>
  </si>
  <si>
    <t>Labor Pickup</t>
  </si>
  <si>
    <t>IRRIGATION</t>
  </si>
  <si>
    <t xml:space="preserve">Purchase </t>
  </si>
  <si>
    <t xml:space="preserve">Years </t>
  </si>
  <si>
    <t xml:space="preserve">to </t>
  </si>
  <si>
    <t>Trade</t>
  </si>
  <si>
    <t>Annual</t>
  </si>
  <si>
    <t>Deprec.</t>
  </si>
  <si>
    <t>Insurance</t>
  </si>
  <si>
    <t>Taxes</t>
  </si>
  <si>
    <t>Housing</t>
  </si>
  <si>
    <t>And</t>
  </si>
  <si>
    <t>Insurance Rate</t>
  </si>
  <si>
    <t>Lubricant add on %</t>
  </si>
  <si>
    <t>http://agbiopubs.sdstate.edu/articles/EC920e.pdf</t>
  </si>
  <si>
    <t>Plow</t>
  </si>
  <si>
    <t>Fertilize</t>
  </si>
  <si>
    <t>Listing</t>
  </si>
  <si>
    <t>Planting</t>
  </si>
  <si>
    <t>Cultivate</t>
  </si>
  <si>
    <t>Spray Weeds</t>
  </si>
  <si>
    <t>Irrigation</t>
  </si>
  <si>
    <t>Spot Spray</t>
  </si>
  <si>
    <t>Spray Insects</t>
  </si>
  <si>
    <t>Management Fee</t>
  </si>
  <si>
    <t>Pickup</t>
  </si>
  <si>
    <t>Land</t>
  </si>
  <si>
    <t>Overhead</t>
  </si>
  <si>
    <t>MAR</t>
  </si>
  <si>
    <t>Materials</t>
  </si>
  <si>
    <t>Disk</t>
  </si>
  <si>
    <t>Custom Fertilizer Application</t>
  </si>
  <si>
    <t>Custom Listing</t>
  </si>
  <si>
    <t>Custom Planting</t>
  </si>
  <si>
    <t>Supervise Planting</t>
  </si>
  <si>
    <t>Irrigate May to September</t>
  </si>
  <si>
    <t>Custom Aerial Spraying</t>
  </si>
  <si>
    <t>5% of Full Production Revenue</t>
  </si>
  <si>
    <t>Miscellaneous Use</t>
  </si>
  <si>
    <t>Real Estate Taxes, Year 1</t>
  </si>
  <si>
    <t>Utilities, Telephone, Etc.</t>
  </si>
  <si>
    <t>Total Per Acre</t>
  </si>
  <si>
    <t>APR</t>
  </si>
  <si>
    <t>SEA</t>
  </si>
  <si>
    <t>MAY</t>
  </si>
  <si>
    <t>JUN</t>
  </si>
  <si>
    <t>ANN</t>
  </si>
  <si>
    <t>-</t>
  </si>
  <si>
    <t>Hand Hoeing</t>
  </si>
  <si>
    <t xml:space="preserve">VARIABLE COSTS </t>
  </si>
  <si>
    <t>Unit</t>
  </si>
  <si>
    <t>Price or</t>
  </si>
  <si>
    <t>Cost / Unit</t>
  </si>
  <si>
    <t>Quantity</t>
  </si>
  <si>
    <t>Value or</t>
  </si>
  <si>
    <t>Asparagus Crown</t>
  </si>
  <si>
    <t>Phosphate</t>
  </si>
  <si>
    <t>Potassium</t>
  </si>
  <si>
    <t>Nitrogen</t>
  </si>
  <si>
    <t>Roundup</t>
  </si>
  <si>
    <t>Lorox</t>
  </si>
  <si>
    <t>Aerial Spraying</t>
  </si>
  <si>
    <t>Disyston</t>
  </si>
  <si>
    <t>Sevin XLR Plus</t>
  </si>
  <si>
    <t>Irrigate</t>
  </si>
  <si>
    <t>Irrigation Electricity</t>
  </si>
  <si>
    <t xml:space="preserve">Interest on Operating </t>
  </si>
  <si>
    <t>TOTAL VARIABLE COST</t>
  </si>
  <si>
    <t>FIXED COSTS</t>
  </si>
  <si>
    <t>Tractor / Machinery Depreciation</t>
  </si>
  <si>
    <t>Tractor / Machinery Interest</t>
  </si>
  <si>
    <t>Tractor / Mach. Taxes, Ins. Housing</t>
  </si>
  <si>
    <t>ACRE</t>
  </si>
  <si>
    <t>THOU</t>
  </si>
  <si>
    <t>LB</t>
  </si>
  <si>
    <t>GAL</t>
  </si>
  <si>
    <t>Land Taxes</t>
  </si>
  <si>
    <t>TOTAL COST</t>
  </si>
  <si>
    <t>TOTAL FIXED COST</t>
  </si>
  <si>
    <t>Operating Interest</t>
  </si>
  <si>
    <t>Production Inputs</t>
  </si>
  <si>
    <t>Custom Charges</t>
  </si>
  <si>
    <t>Aerial Application</t>
  </si>
  <si>
    <t>lb</t>
  </si>
  <si>
    <t>gal</t>
  </si>
  <si>
    <t>Custom Fert</t>
  </si>
  <si>
    <t>acre</t>
  </si>
  <si>
    <t>2,4D</t>
  </si>
  <si>
    <t>Sevin</t>
  </si>
  <si>
    <t>Insect Control</t>
  </si>
  <si>
    <t>Beat Ferns</t>
  </si>
  <si>
    <t>Weed Control</t>
  </si>
  <si>
    <t>Rotovate</t>
  </si>
  <si>
    <t>Cut</t>
  </si>
  <si>
    <t>Swamping</t>
  </si>
  <si>
    <t>Harvest</t>
  </si>
  <si>
    <t>Apply Herbicide</t>
  </si>
  <si>
    <t>Custom Aerial Spray</t>
  </si>
  <si>
    <t>Irrigate April to September</t>
  </si>
  <si>
    <t>Supervise Harvest</t>
  </si>
  <si>
    <t>JUL</t>
  </si>
  <si>
    <t>Treflan FP</t>
  </si>
  <si>
    <t>Karmex</t>
  </si>
  <si>
    <t>Sencor</t>
  </si>
  <si>
    <t>Custom Fert. Application</t>
  </si>
  <si>
    <t>Custom Irrigate</t>
  </si>
  <si>
    <t>Labor (Tractor / Machinery)</t>
  </si>
  <si>
    <t>Treflan</t>
  </si>
  <si>
    <t xml:space="preserve">Amoritized Net Establishment </t>
  </si>
  <si>
    <t>Ammortized Net Establishment</t>
  </si>
  <si>
    <t>REVENUE</t>
  </si>
  <si>
    <t>Asparagus Harvest</t>
  </si>
  <si>
    <t>Asparagus Sale Price</t>
  </si>
  <si>
    <t>NET REVENUE OR LOSS</t>
  </si>
  <si>
    <t>Real Estate Taxes Yr 1 - 3</t>
  </si>
  <si>
    <t xml:space="preserve">Establishment </t>
  </si>
  <si>
    <t>Real Estate Taxes Yr 4 - 15</t>
  </si>
  <si>
    <t>Management Fee of Gross Revenue</t>
  </si>
  <si>
    <t xml:space="preserve"> 6 -15 </t>
  </si>
  <si>
    <t xml:space="preserve">REVENUE </t>
  </si>
  <si>
    <t>Yield (lbs)</t>
  </si>
  <si>
    <t>Price ($/lb)</t>
  </si>
  <si>
    <t>Planting Crowns, Listing, etc.</t>
  </si>
  <si>
    <t>Custom Fertilzer Application</t>
  </si>
  <si>
    <t>Phosphate and Potassium</t>
  </si>
  <si>
    <t>Interest on Operating Capital</t>
  </si>
  <si>
    <t>Total Variable Cost</t>
  </si>
  <si>
    <t>VARIABLE COSTS</t>
  </si>
  <si>
    <t>Total Fixed Cost</t>
  </si>
  <si>
    <t>Total Cost</t>
  </si>
  <si>
    <t>Cover Roots</t>
  </si>
  <si>
    <t>Di-Syston</t>
  </si>
  <si>
    <t>Budget Input Data</t>
  </si>
  <si>
    <t>Asparagus Yields and Prices</t>
  </si>
  <si>
    <t>Year 1</t>
  </si>
  <si>
    <t>Year 2</t>
  </si>
  <si>
    <t>year 3</t>
  </si>
  <si>
    <t>Year 4</t>
  </si>
  <si>
    <t>Year 5</t>
  </si>
  <si>
    <t>Years 6 - 15</t>
  </si>
  <si>
    <t>Yield</t>
  </si>
  <si>
    <t>Lbs / acre</t>
  </si>
  <si>
    <t>$ / Lb</t>
  </si>
  <si>
    <t>Asparagus Crowns</t>
  </si>
  <si>
    <t>Thousand</t>
  </si>
  <si>
    <t>Roundup (spot spraying)</t>
  </si>
  <si>
    <t>Irrigation Water Cost</t>
  </si>
  <si>
    <t xml:space="preserve">Irrigation Electricity </t>
  </si>
  <si>
    <t>percent</t>
  </si>
  <si>
    <t>Supervising</t>
  </si>
  <si>
    <t>Harvesting Costs per lb of production</t>
  </si>
  <si>
    <t>Picking per lb</t>
  </si>
  <si>
    <t>Swamping / Loading</t>
  </si>
  <si>
    <t>Load &amp; Haul to Packer - Pickup</t>
  </si>
  <si>
    <t>Labor taxes</t>
  </si>
  <si>
    <t>Cut Labor</t>
  </si>
  <si>
    <t>Swamping (loading) Labor</t>
  </si>
  <si>
    <t>Harvest Supervision Labor</t>
  </si>
  <si>
    <t>Labor Taxes</t>
  </si>
  <si>
    <t>Irrigation Water</t>
  </si>
  <si>
    <t>Spot Spray Roundup</t>
  </si>
  <si>
    <t>Real Estate Taxes</t>
  </si>
  <si>
    <t>Hand Weeding</t>
  </si>
  <si>
    <t>200 HP Tractor</t>
  </si>
  <si>
    <t>85 HP Tractor</t>
  </si>
  <si>
    <t>200 HP Tractor, Plow</t>
  </si>
  <si>
    <t>200 HP Tractor 13' Disk</t>
  </si>
  <si>
    <t>85 HP Tractor Dragging Board</t>
  </si>
  <si>
    <t>85 HP Tractor, 2 Row Lilliston</t>
  </si>
  <si>
    <t>85 HP Tractor PTO Sprayer</t>
  </si>
  <si>
    <t>85 HP Tractor Rotary Mower</t>
  </si>
  <si>
    <t>85 HP Tractor Rotovator</t>
  </si>
  <si>
    <t xml:space="preserve">13' Mulch Tiller </t>
  </si>
  <si>
    <t>Utility Trailer</t>
  </si>
  <si>
    <t>ACRES</t>
  </si>
  <si>
    <t>Tractor-Machinery Fuel / Lube / Repair</t>
  </si>
  <si>
    <t>Depr</t>
  </si>
  <si>
    <t>Ins</t>
  </si>
  <si>
    <t>Tax</t>
  </si>
  <si>
    <t>depr</t>
  </si>
  <si>
    <t>interest</t>
  </si>
  <si>
    <t>insur</t>
  </si>
  <si>
    <t>taxes</t>
  </si>
  <si>
    <t>housing</t>
  </si>
  <si>
    <t>Tillage</t>
  </si>
  <si>
    <t>85 HP Tractor Mulch Tiller</t>
  </si>
  <si>
    <t>Tractor / Machinery Fuel/Lube/Repair</t>
  </si>
  <si>
    <t>Tractor/Mach Fuel/Lube/Repair</t>
  </si>
  <si>
    <t>Net Present Value 15 year production using discount rate of:</t>
  </si>
  <si>
    <t>NPV =</t>
  </si>
  <si>
    <t>IRR =</t>
  </si>
  <si>
    <t>Array for NPV and IRR Calculations</t>
  </si>
  <si>
    <t>year 2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</si>
  <si>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</si>
  <si>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</si>
  <si>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</si>
  <si>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</si>
  <si>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</si>
  <si>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</si>
  <si>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</si>
  <si>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</si>
  <si>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</si>
  <si>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</si>
  <si>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15</t>
  </si>
  <si>
    <t>year 14</t>
  </si>
  <si>
    <t>estab year 1</t>
  </si>
  <si>
    <t>Land Rent Opportunity Cost</t>
  </si>
  <si>
    <t>Labor (total harvest)</t>
  </si>
  <si>
    <t>Sencor - DF</t>
  </si>
  <si>
    <t>Establishment Amoritzation Cost</t>
  </si>
  <si>
    <t>Year 3</t>
  </si>
  <si>
    <t>Economic Net Revenue or Loss</t>
  </si>
  <si>
    <t>Center Pivot</t>
  </si>
  <si>
    <t>Center Pivot System</t>
  </si>
  <si>
    <t>Economic Net Revenue</t>
  </si>
  <si>
    <t>Production Expense</t>
  </si>
  <si>
    <t>Revenue</t>
  </si>
  <si>
    <t>Cumulative Cash Income</t>
  </si>
  <si>
    <t xml:space="preserve">   Yield (lbs)</t>
  </si>
  <si>
    <t>Total Revuene</t>
  </si>
  <si>
    <t xml:space="preserve">   Price ($/lb)</t>
  </si>
  <si>
    <t xml:space="preserve">Full </t>
  </si>
  <si>
    <t>Production</t>
  </si>
  <si>
    <t>Variable Cost</t>
  </si>
  <si>
    <t xml:space="preserve">   Harvest</t>
  </si>
  <si>
    <t>Total Fixed Costs</t>
  </si>
  <si>
    <t>Total Costs</t>
  </si>
  <si>
    <t>Net Return</t>
  </si>
  <si>
    <t xml:space="preserve">   Non-Harvest</t>
  </si>
  <si>
    <t>$ / acre</t>
  </si>
  <si>
    <t>------------------------------------------------------COST PER ACRE---------------------------------------------------------------</t>
  </si>
  <si>
    <t xml:space="preserve"> + Economic to Finance Adjustments</t>
  </si>
  <si>
    <t xml:space="preserve">Amortized Net Establishment </t>
  </si>
  <si>
    <t xml:space="preserve">2008 - 2009 Establishment and Annual Production </t>
  </si>
  <si>
    <t>Costs for Washington Asparagus</t>
  </si>
  <si>
    <r>
      <t>J. Shannon Neibergs and Tim Waters</t>
    </r>
    <r>
      <rPr>
        <vertAlign val="superscript"/>
        <sz val="16"/>
        <rFont val="Arial"/>
        <family val="2"/>
      </rPr>
      <t>1</t>
    </r>
  </si>
  <si>
    <t>Cost per lb of production</t>
  </si>
  <si>
    <t>$/unit</t>
  </si>
  <si>
    <t>Establishment Amortitzation Interest</t>
  </si>
  <si>
    <t>"Financial"  Net Revenue</t>
  </si>
  <si>
    <t>Amortization Interest</t>
  </si>
  <si>
    <t>Accumulated net total to amortize</t>
  </si>
  <si>
    <t>Number of periods (years 5 to 15)</t>
  </si>
  <si>
    <t>Annual amoritization expense</t>
  </si>
  <si>
    <t>Taxes, Labor and Overhead</t>
  </si>
  <si>
    <t>hour</t>
  </si>
  <si>
    <t>ANNUAL ACRES</t>
  </si>
  <si>
    <t xml:space="preserve"> </t>
  </si>
  <si>
    <t>Diesel</t>
  </si>
  <si>
    <t>Gasoline</t>
  </si>
  <si>
    <t>Machinery opportunity interest</t>
  </si>
  <si>
    <t>Machinery and Equipment Data</t>
  </si>
  <si>
    <t xml:space="preserve"> Machinery Hourly or Irrigation Per Acre Costs </t>
  </si>
  <si>
    <t>Machinery Cost Table Calculation Parameters</t>
  </si>
  <si>
    <t xml:space="preserve">Diesel 200 hp  </t>
  </si>
  <si>
    <t>Diesel 85 hp</t>
  </si>
  <si>
    <t>gal / hr</t>
  </si>
  <si>
    <t xml:space="preserve">Pickup </t>
  </si>
  <si>
    <t>Itemized Costs per Acre for Establishing a 40-acre Asparagus Field - Year 4</t>
  </si>
  <si>
    <t>Contact Author J. Shannon Neibergs, sneibergs@wsu.edu, 509-335-6360</t>
  </si>
  <si>
    <r>
      <t>1</t>
    </r>
    <r>
      <rPr>
        <sz val="11"/>
        <rFont val="Arial"/>
        <family val="0"/>
      </rPr>
      <t xml:space="preserve"> Washington State University Extension, School of Economic Sciences, Pullman WA
</t>
    </r>
  </si>
  <si>
    <t>and Area Extension Educator Franklin &amp; Benton Co., Pasco WA</t>
  </si>
  <si>
    <t xml:space="preserve"> Summary of Asparagus Budget Revenues, Costs and Returns</t>
  </si>
  <si>
    <t>Financial Cost Analysis for an Asparagus Field Per Acre</t>
  </si>
  <si>
    <t>Schedule of Operations and Estimated Costs per acre for Establishing an Asparagus Field - Year 1</t>
  </si>
  <si>
    <t>Itemized Costs per Acre for Establishing an Asparagus Field - Year 1</t>
  </si>
  <si>
    <t>Schedule of Operations and Estimated Costs per acre for Establishing an Asparagus Field - Year 2</t>
  </si>
  <si>
    <t>Itemized Costs per Acre for Establishing an Asparagus Field - Year 2</t>
  </si>
  <si>
    <t>Schedule of Operations and Estimated Costs per acre for Establishing an Asparagus Field - Year 3</t>
  </si>
  <si>
    <t>Itemized Costs per Acre for Establishing an Asparagus Field - Year 3</t>
  </si>
  <si>
    <t>Schedule of Operations and Estimated Costs per acre for Establishing an Asparagus Field - Year 4</t>
  </si>
  <si>
    <t>Schedule of Operations and Estimated Costs per acre for Establishing an Asparagus Field - Year 5</t>
  </si>
  <si>
    <t>Itemized Costs per Acre for Establishing an Asparagus Field - Year 5</t>
  </si>
  <si>
    <t xml:space="preserve"> Itemized Costs per Acre for Producing an Asparagus Field - Full Production</t>
  </si>
  <si>
    <t>Schedule of Operations and Estimated Costs per acre for Establishing an Asparagus Field - Full Production</t>
  </si>
  <si>
    <t>Aerial spraying</t>
  </si>
  <si>
    <t>FINANCIAL NET INCOME</t>
  </si>
  <si>
    <t>Labor Wage</t>
  </si>
  <si>
    <t xml:space="preserve">Asparagus Establishment and Annual Production </t>
  </si>
  <si>
    <t>Workbook Instructions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</si>
</sst>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_);_(* \(#,##0.0000\);_(* &quot;-&quot;????_);_(@_)"/>
    <numFmt numFmtId="169" formatCode="0.000"/>
    <numFmt numFmtId="170" formatCode="0.0000"/>
    <numFmt numFmtId="171" formatCode="_(* #,##0.00000_);_(* \(#,##0.00000\);_(* &quot;-&quot;??_);_(@_)"/>
    <numFmt numFmtId="172" formatCode="_(* #,##0.00000_);_(* \(#,##0.00000\);_(* &quot;-&quot;???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0.0%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0.000%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6"/>
      <name val="Arial"/>
      <family val="0"/>
    </font>
    <font>
      <vertAlign val="superscript"/>
      <sz val="16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vertAlign val="superscript"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 horizontal="center"/>
    </xf>
    <xf numFmtId="165" fontId="0" fillId="0" borderId="10" xfId="42" applyNumberFormat="1" applyFont="1" applyBorder="1" applyAlignment="1">
      <alignment/>
    </xf>
    <xf numFmtId="165" fontId="0" fillId="0" borderId="10" xfId="42" applyNumberFormat="1" applyFont="1" applyBorder="1" applyAlignment="1">
      <alignment horizontal="center"/>
    </xf>
    <xf numFmtId="167" fontId="0" fillId="0" borderId="0" xfId="42" applyNumberFormat="1" applyFont="1" applyAlignment="1">
      <alignment/>
    </xf>
    <xf numFmtId="2" fontId="0" fillId="0" borderId="0" xfId="42" applyNumberFormat="1" applyFont="1" applyAlignment="1">
      <alignment/>
    </xf>
    <xf numFmtId="2" fontId="0" fillId="0" borderId="10" xfId="42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8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/>
    </xf>
    <xf numFmtId="2" fontId="0" fillId="0" borderId="12" xfId="0" applyNumberFormat="1" applyBorder="1" applyAlignment="1">
      <alignment vertical="center"/>
    </xf>
    <xf numFmtId="10" fontId="0" fillId="0" borderId="0" xfId="0" applyNumberFormat="1" applyAlignment="1">
      <alignment/>
    </xf>
    <xf numFmtId="2" fontId="0" fillId="0" borderId="0" xfId="42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 indent="1"/>
    </xf>
    <xf numFmtId="4" fontId="4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9" fontId="0" fillId="0" borderId="10" xfId="0" applyNumberFormat="1" applyBorder="1" applyAlignment="1">
      <alignment/>
    </xf>
    <xf numFmtId="0" fontId="10" fillId="0" borderId="0" xfId="0" applyFont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44" fontId="2" fillId="35" borderId="0" xfId="44" applyFont="1" applyFill="1" applyAlignment="1">
      <alignment/>
    </xf>
    <xf numFmtId="0" fontId="2" fillId="35" borderId="0" xfId="0" applyFont="1" applyFill="1" applyAlignment="1">
      <alignment/>
    </xf>
    <xf numFmtId="165" fontId="2" fillId="35" borderId="0" xfId="42" applyNumberFormat="1" applyFont="1" applyFill="1" applyAlignment="1">
      <alignment/>
    </xf>
    <xf numFmtId="2" fontId="2" fillId="0" borderId="0" xfId="0" applyNumberFormat="1" applyFont="1" applyAlignment="1">
      <alignment/>
    </xf>
    <xf numFmtId="10" fontId="2" fillId="35" borderId="0" xfId="0" applyNumberFormat="1" applyFont="1" applyFill="1" applyAlignment="1">
      <alignment/>
    </xf>
    <xf numFmtId="10" fontId="2" fillId="35" borderId="0" xfId="59" applyNumberFormat="1" applyFont="1" applyFill="1" applyAlignment="1">
      <alignment/>
    </xf>
    <xf numFmtId="0" fontId="11" fillId="0" borderId="0" xfId="0" applyFont="1" applyAlignment="1">
      <alignment horizontal="center"/>
    </xf>
    <xf numFmtId="0" fontId="0" fillId="36" borderId="0" xfId="0" applyFill="1" applyAlignment="1">
      <alignment wrapText="1"/>
    </xf>
    <xf numFmtId="2" fontId="0" fillId="36" borderId="0" xfId="0" applyNumberFormat="1" applyFill="1" applyAlignment="1">
      <alignment wrapText="1"/>
    </xf>
    <xf numFmtId="0" fontId="0" fillId="36" borderId="0" xfId="0" applyFill="1" applyAlignment="1">
      <alignment/>
    </xf>
    <xf numFmtId="44" fontId="0" fillId="36" borderId="0" xfId="44" applyFont="1" applyFill="1" applyAlignment="1">
      <alignment/>
    </xf>
    <xf numFmtId="2" fontId="0" fillId="36" borderId="0" xfId="0" applyNumberFormat="1" applyFill="1" applyAlignment="1">
      <alignment/>
    </xf>
    <xf numFmtId="8" fontId="0" fillId="36" borderId="0" xfId="0" applyNumberFormat="1" applyFill="1" applyAlignment="1">
      <alignment/>
    </xf>
    <xf numFmtId="0" fontId="2" fillId="36" borderId="0" xfId="0" applyFont="1" applyFill="1" applyAlignment="1">
      <alignment wrapText="1"/>
    </xf>
    <xf numFmtId="165" fontId="0" fillId="0" borderId="0" xfId="42" applyNumberFormat="1" applyFont="1" applyAlignment="1">
      <alignment/>
    </xf>
    <xf numFmtId="165" fontId="0" fillId="34" borderId="0" xfId="42" applyNumberFormat="1" applyFont="1" applyFill="1" applyAlignment="1">
      <alignment/>
    </xf>
    <xf numFmtId="165" fontId="0" fillId="34" borderId="0" xfId="42" applyNumberFormat="1" applyFont="1" applyFill="1" applyAlignment="1">
      <alignment horizontal="center"/>
    </xf>
    <xf numFmtId="165" fontId="0" fillId="34" borderId="10" xfId="42" applyNumberFormat="1" applyFont="1" applyFill="1" applyBorder="1" applyAlignment="1">
      <alignment/>
    </xf>
    <xf numFmtId="165" fontId="0" fillId="34" borderId="10" xfId="42" applyNumberFormat="1" applyFont="1" applyFill="1" applyBorder="1" applyAlignment="1">
      <alignment horizontal="center"/>
    </xf>
    <xf numFmtId="180" fontId="0" fillId="34" borderId="0" xfId="44" applyNumberFormat="1" applyFont="1" applyFill="1" applyAlignment="1">
      <alignment/>
    </xf>
    <xf numFmtId="165" fontId="0" fillId="34" borderId="0" xfId="42" applyNumberFormat="1" applyFont="1" applyFill="1" applyAlignment="1">
      <alignment horizontal="left"/>
    </xf>
    <xf numFmtId="165" fontId="0" fillId="35" borderId="0" xfId="42" applyNumberFormat="1" applyFont="1" applyFill="1" applyAlignment="1">
      <alignment/>
    </xf>
    <xf numFmtId="180" fontId="0" fillId="35" borderId="0" xfId="44" applyNumberFormat="1" applyFont="1" applyFill="1" applyAlignment="1">
      <alignment/>
    </xf>
    <xf numFmtId="165" fontId="0" fillId="35" borderId="10" xfId="42" applyNumberFormat="1" applyFont="1" applyFill="1" applyBorder="1" applyAlignment="1">
      <alignment/>
    </xf>
    <xf numFmtId="180" fontId="0" fillId="35" borderId="10" xfId="44" applyNumberFormat="1" applyFont="1" applyFill="1" applyBorder="1" applyAlignment="1">
      <alignment/>
    </xf>
    <xf numFmtId="165" fontId="2" fillId="34" borderId="0" xfId="42" applyNumberFormat="1" applyFont="1" applyFill="1" applyAlignment="1">
      <alignment/>
    </xf>
    <xf numFmtId="0" fontId="0" fillId="34" borderId="10" xfId="0" applyFill="1" applyBorder="1" applyAlignment="1">
      <alignment vertical="center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34" borderId="0" xfId="0" applyFill="1" applyAlignment="1">
      <alignment horizontal="left"/>
    </xf>
    <xf numFmtId="2" fontId="0" fillId="34" borderId="0" xfId="0" applyNumberFormat="1" applyFill="1" applyAlignment="1">
      <alignment/>
    </xf>
    <xf numFmtId="0" fontId="0" fillId="34" borderId="0" xfId="0" applyFill="1" applyBorder="1" applyAlignment="1">
      <alignment horizontal="left"/>
    </xf>
    <xf numFmtId="9" fontId="0" fillId="34" borderId="0" xfId="0" applyNumberFormat="1" applyFill="1" applyAlignment="1">
      <alignment horizontal="left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2" fontId="0" fillId="34" borderId="10" xfId="0" applyNumberForma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3" xfId="0" applyFill="1" applyBorder="1" applyAlignment="1">
      <alignment horizontal="left" vertical="center"/>
    </xf>
    <xf numFmtId="2" fontId="0" fillId="34" borderId="13" xfId="0" applyNumberFormat="1" applyFill="1" applyBorder="1" applyAlignment="1">
      <alignment vertical="center"/>
    </xf>
    <xf numFmtId="2" fontId="2" fillId="35" borderId="0" xfId="0" applyNumberFormat="1" applyFont="1" applyFill="1" applyAlignment="1">
      <alignment/>
    </xf>
    <xf numFmtId="2" fontId="2" fillId="35" borderId="0" xfId="0" applyNumberFormat="1" applyFont="1" applyFill="1" applyAlignment="1">
      <alignment horizontal="center"/>
    </xf>
    <xf numFmtId="2" fontId="2" fillId="35" borderId="10" xfId="0" applyNumberFormat="1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44" fontId="0" fillId="34" borderId="0" xfId="0" applyNumberFormat="1" applyFill="1" applyBorder="1" applyAlignment="1">
      <alignment horizontal="right"/>
    </xf>
    <xf numFmtId="2" fontId="0" fillId="34" borderId="0" xfId="0" applyNumberFormat="1" applyFill="1" applyBorder="1" applyAlignment="1">
      <alignment horizontal="right"/>
    </xf>
    <xf numFmtId="2" fontId="2" fillId="35" borderId="0" xfId="0" applyNumberFormat="1" applyFont="1" applyFill="1" applyAlignment="1">
      <alignment horizontal="right"/>
    </xf>
    <xf numFmtId="0" fontId="0" fillId="34" borderId="0" xfId="0" applyFill="1" applyBorder="1" applyAlignment="1">
      <alignment vertical="center"/>
    </xf>
    <xf numFmtId="2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2" fontId="0" fillId="34" borderId="0" xfId="0" applyNumberFormat="1" applyFill="1" applyBorder="1" applyAlignment="1">
      <alignment vertical="center"/>
    </xf>
    <xf numFmtId="0" fontId="12" fillId="0" borderId="0" xfId="0" applyFont="1" applyBorder="1" applyAlignment="1">
      <alignment/>
    </xf>
    <xf numFmtId="2" fontId="0" fillId="34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8" fillId="33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5" fontId="11" fillId="0" borderId="10" xfId="42" applyNumberFormat="1" applyFont="1" applyBorder="1" applyAlignment="1">
      <alignment horizontal="center"/>
    </xf>
    <xf numFmtId="181" fontId="0" fillId="35" borderId="0" xfId="59" applyNumberFormat="1" applyFont="1" applyFill="1" applyAlignment="1">
      <alignment/>
    </xf>
    <xf numFmtId="43" fontId="0" fillId="35" borderId="0" xfId="42" applyNumberFormat="1" applyFont="1" applyFill="1" applyAlignment="1">
      <alignment/>
    </xf>
    <xf numFmtId="0" fontId="0" fillId="35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7</xdr:row>
      <xdr:rowOff>47625</xdr:rowOff>
    </xdr:from>
    <xdr:to>
      <xdr:col>10</xdr:col>
      <xdr:colOff>257175</xdr:colOff>
      <xdr:row>27</xdr:row>
      <xdr:rowOff>95250</xdr:rowOff>
    </xdr:to>
    <xdr:pic>
      <xdr:nvPicPr>
        <xdr:cNvPr id="1" name="Picture 1" descr="asparagus_fie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1428750"/>
          <a:ext cx="4943475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4</xdr:row>
      <xdr:rowOff>9525</xdr:rowOff>
    </xdr:from>
    <xdr:to>
      <xdr:col>11</xdr:col>
      <xdr:colOff>447675</xdr:colOff>
      <xdr:row>35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847725"/>
          <a:ext cx="6105525" cy="505777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7" customWidth="1"/>
  </cols>
  <sheetData>
    <row r="1" ht="6.75" customHeight="1"/>
    <row r="2" spans="3:11" ht="20.25">
      <c r="C2" s="111" t="s">
        <v>264</v>
      </c>
      <c r="D2" s="111"/>
      <c r="E2" s="111"/>
      <c r="F2" s="111"/>
      <c r="G2" s="111"/>
      <c r="H2" s="111"/>
      <c r="I2" s="111"/>
      <c r="J2" s="111"/>
      <c r="K2" s="111"/>
    </row>
    <row r="3" spans="3:11" ht="20.25">
      <c r="C3" s="111" t="s">
        <v>265</v>
      </c>
      <c r="D3" s="111"/>
      <c r="E3" s="111"/>
      <c r="F3" s="111"/>
      <c r="G3" s="111"/>
      <c r="H3" s="111"/>
      <c r="I3" s="111"/>
      <c r="J3" s="111"/>
      <c r="K3" s="111"/>
    </row>
    <row r="5" spans="3:11" ht="23.25">
      <c r="C5" s="111" t="s">
        <v>266</v>
      </c>
      <c r="D5" s="111"/>
      <c r="E5" s="111"/>
      <c r="F5" s="111"/>
      <c r="G5" s="111"/>
      <c r="H5" s="111"/>
      <c r="I5" s="111"/>
      <c r="J5" s="111"/>
      <c r="K5" s="111"/>
    </row>
    <row r="25" ht="13.5" customHeight="1"/>
    <row r="32" spans="2:11" ht="14.25">
      <c r="B32" s="107"/>
      <c r="C32" s="112" t="s">
        <v>291</v>
      </c>
      <c r="D32" s="113"/>
      <c r="E32" s="113"/>
      <c r="F32" s="113"/>
      <c r="G32" s="113"/>
      <c r="H32" s="113"/>
      <c r="I32" s="113"/>
      <c r="J32" s="113"/>
      <c r="K32" s="113"/>
    </row>
    <row r="33" spans="2:11" s="44" customFormat="1" ht="15">
      <c r="B33" s="107"/>
      <c r="C33" s="107" t="s">
        <v>292</v>
      </c>
      <c r="D33" s="107"/>
      <c r="E33" s="107"/>
      <c r="F33" s="107"/>
      <c r="G33" s="107"/>
      <c r="H33" s="107"/>
      <c r="I33" s="107"/>
      <c r="J33" s="107"/>
      <c r="K33" s="107"/>
    </row>
    <row r="34" spans="2:11" ht="14.25">
      <c r="B34" s="107"/>
      <c r="C34" s="107"/>
      <c r="D34" s="107"/>
      <c r="E34" s="107"/>
      <c r="F34" s="107"/>
      <c r="G34" s="107"/>
      <c r="H34" s="107"/>
      <c r="I34" s="107"/>
      <c r="J34" s="107"/>
      <c r="K34" s="107"/>
    </row>
    <row r="35" spans="2:11" ht="14.25">
      <c r="B35" s="107"/>
      <c r="C35" s="107" t="s">
        <v>290</v>
      </c>
      <c r="D35" s="107"/>
      <c r="E35" s="107"/>
      <c r="F35" s="107"/>
      <c r="G35" s="107"/>
      <c r="H35" s="107"/>
      <c r="I35" s="107"/>
      <c r="J35" s="107"/>
      <c r="K35" s="107"/>
    </row>
    <row r="36" spans="2:11" ht="14.25">
      <c r="B36" s="107"/>
      <c r="C36" s="107"/>
      <c r="D36" s="107"/>
      <c r="E36" s="107"/>
      <c r="F36" s="107"/>
      <c r="G36" s="107"/>
      <c r="H36" s="107"/>
      <c r="I36" s="107"/>
      <c r="J36" s="107"/>
      <c r="K36" s="107"/>
    </row>
    <row r="37" spans="2:11" ht="14.25">
      <c r="B37" s="107"/>
      <c r="C37" s="107"/>
      <c r="D37" s="107"/>
      <c r="E37" s="107"/>
      <c r="F37" s="107"/>
      <c r="G37" s="107"/>
      <c r="H37" s="107"/>
      <c r="I37" s="107"/>
      <c r="J37" s="107"/>
      <c r="K37" s="107"/>
    </row>
  </sheetData>
  <sheetProtection/>
  <mergeCells count="4">
    <mergeCell ref="C2:K2"/>
    <mergeCell ref="C3:K3"/>
    <mergeCell ref="C5:K5"/>
    <mergeCell ref="C32:K3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5.8515625" style="0" customWidth="1"/>
    <col min="2" max="2" width="26.57421875" style="0" customWidth="1"/>
    <col min="3" max="3" width="5.8515625" style="0" customWidth="1"/>
    <col min="4" max="4" width="6.140625" style="0" customWidth="1"/>
    <col min="5" max="5" width="8.421875" style="0" customWidth="1"/>
    <col min="6" max="6" width="7.7109375" style="0" customWidth="1"/>
    <col min="7" max="9" width="7.7109375" style="0" hidden="1" customWidth="1"/>
    <col min="10" max="14" width="9.140625" style="10" customWidth="1"/>
    <col min="15" max="15" width="8.57421875" style="10" customWidth="1"/>
    <col min="16" max="17" width="9.140625" style="10" customWidth="1"/>
  </cols>
  <sheetData>
    <row r="1" spans="1:17" ht="18" customHeight="1" thickBot="1">
      <c r="A1" s="124" t="s">
        <v>297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52"/>
      <c r="B2" s="80"/>
      <c r="C2" s="80"/>
      <c r="D2" s="80"/>
      <c r="E2" s="80"/>
      <c r="F2" s="80"/>
      <c r="G2" s="80"/>
      <c r="H2" s="80"/>
      <c r="I2" s="80" t="s">
        <v>212</v>
      </c>
      <c r="J2" s="81" t="s">
        <v>7</v>
      </c>
      <c r="K2" s="81" t="s">
        <v>10</v>
      </c>
      <c r="L2" s="81"/>
      <c r="M2" s="81"/>
      <c r="N2" s="81"/>
      <c r="O2" s="81"/>
      <c r="P2" s="81" t="s">
        <v>7</v>
      </c>
      <c r="Q2" s="81"/>
    </row>
    <row r="3" spans="1:17" ht="12.75">
      <c r="A3" s="52"/>
      <c r="B3" s="80"/>
      <c r="C3" s="80"/>
      <c r="D3" s="80"/>
      <c r="E3" s="80" t="s">
        <v>6</v>
      </c>
      <c r="F3" s="80" t="s">
        <v>4</v>
      </c>
      <c r="G3" s="80"/>
      <c r="H3" s="80"/>
      <c r="I3" s="80" t="s">
        <v>213</v>
      </c>
      <c r="J3" s="81" t="s">
        <v>8</v>
      </c>
      <c r="K3" s="81" t="s">
        <v>11</v>
      </c>
      <c r="L3" s="81"/>
      <c r="M3" s="81"/>
      <c r="N3" s="81"/>
      <c r="O3" s="81"/>
      <c r="P3" s="81" t="s">
        <v>15</v>
      </c>
      <c r="Q3" s="81" t="s">
        <v>7</v>
      </c>
    </row>
    <row r="4" spans="1:17" ht="13.5" thickBot="1">
      <c r="A4" s="82" t="s">
        <v>0</v>
      </c>
      <c r="B4" s="83" t="s">
        <v>1</v>
      </c>
      <c r="C4" s="83" t="s">
        <v>2</v>
      </c>
      <c r="D4" s="83" t="s">
        <v>3</v>
      </c>
      <c r="E4" s="83" t="s">
        <v>5</v>
      </c>
      <c r="F4" s="83" t="s">
        <v>5</v>
      </c>
      <c r="G4" s="83" t="s">
        <v>210</v>
      </c>
      <c r="H4" s="83" t="s">
        <v>211</v>
      </c>
      <c r="I4" s="83" t="s">
        <v>214</v>
      </c>
      <c r="J4" s="84" t="s">
        <v>9</v>
      </c>
      <c r="K4" s="84" t="s">
        <v>12</v>
      </c>
      <c r="L4" s="84" t="s">
        <v>4</v>
      </c>
      <c r="M4" s="84" t="s">
        <v>13</v>
      </c>
      <c r="N4" s="84" t="s">
        <v>60</v>
      </c>
      <c r="O4" s="84" t="s">
        <v>14</v>
      </c>
      <c r="P4" s="84" t="s">
        <v>9</v>
      </c>
      <c r="Q4" s="84" t="s">
        <v>9</v>
      </c>
    </row>
    <row r="5" spans="1:17" ht="12.75">
      <c r="A5" s="52" t="s">
        <v>121</v>
      </c>
      <c r="B5" s="85" t="s">
        <v>201</v>
      </c>
      <c r="C5" s="80" t="s">
        <v>59</v>
      </c>
      <c r="D5" s="80">
        <v>2</v>
      </c>
      <c r="E5" s="95">
        <v>0.37</v>
      </c>
      <c r="F5" s="95">
        <v>0.45</v>
      </c>
      <c r="G5" s="86">
        <f>E5*('Machinery Cost'!E6+'Machinery Cost'!E11)</f>
        <v>1.8321577777777776</v>
      </c>
      <c r="H5" s="86">
        <f>F5*('Machinery Cost'!F6+'Machinery Cost'!F11)</f>
        <v>1.8363450000000003</v>
      </c>
      <c r="I5" s="86">
        <f>+E5*('Machinery Cost'!G6+'Machinery Cost'!H6+'Machinery Cost'!I6+'Machinery Cost'!G11+'Machinery Cost'!H11+'Machinery Cost'!I11)</f>
        <v>0.562955</v>
      </c>
      <c r="J5" s="86">
        <f>+G5+H5+I5</f>
        <v>4.231457777777778</v>
      </c>
      <c r="K5" s="86">
        <f>+E5*('Machinery Cost'!L6+'Machinery Cost'!K6+'Machinery Cost'!K11+'Machinery Cost'!L11)</f>
        <v>6.302672499999999</v>
      </c>
      <c r="L5" s="86">
        <f>+F5*'Basic Input Costs'!C$46</f>
        <v>6.3</v>
      </c>
      <c r="M5" s="86">
        <v>0</v>
      </c>
      <c r="N5" s="86">
        <v>0</v>
      </c>
      <c r="O5" s="86">
        <f>(SUM(K5:N5))*(3/12)*'Basic Input Costs'!C$49</f>
        <v>0.24417677968749998</v>
      </c>
      <c r="P5" s="86">
        <f aca="true" t="shared" si="0" ref="P5:P22">SUM(K5:O5)</f>
        <v>12.846849279687499</v>
      </c>
      <c r="Q5" s="86">
        <f aca="true" t="shared" si="1" ref="Q5:Q22">+P5+J5</f>
        <v>17.078307057465278</v>
      </c>
    </row>
    <row r="6" spans="1:17" ht="12.75">
      <c r="A6" s="52" t="s">
        <v>122</v>
      </c>
      <c r="B6" s="85" t="s">
        <v>200</v>
      </c>
      <c r="C6" s="80" t="s">
        <v>59</v>
      </c>
      <c r="D6" s="80">
        <v>2</v>
      </c>
      <c r="E6" s="95">
        <v>0.15</v>
      </c>
      <c r="F6" s="95">
        <v>0.18</v>
      </c>
      <c r="G6" s="86">
        <f>+$E6*('Machinery Cost'!E6+'Machinery Cost'!E12)</f>
        <v>0.7253666666666666</v>
      </c>
      <c r="H6" s="86">
        <f>+$E6*('Machinery Cost'!F6+'Machinery Cost'!F12)</f>
        <v>0.618205</v>
      </c>
      <c r="I6" s="86">
        <f>+E6*('Machinery Cost'!G6+'Machinery Cost'!H6+'Machinery Cost'!I6+'Machinery Cost'!G12+'Machinery Cost'!H12+'Machinery Cost'!I12)</f>
        <v>0.228225</v>
      </c>
      <c r="J6" s="86">
        <f aca="true" t="shared" si="2" ref="J6:J12">+G6+H6+I6</f>
        <v>1.5717966666666667</v>
      </c>
      <c r="K6" s="86">
        <f>+E6*('Machinery Cost'!K6+'Machinery Cost'!L6+'Machinery Cost'!K12+'Machinery Cost'!L12)</f>
        <v>2.5551374999999994</v>
      </c>
      <c r="L6" s="86">
        <f>+F6*'Basic Input Costs'!C$46</f>
        <v>2.52</v>
      </c>
      <c r="M6" s="86">
        <v>0</v>
      </c>
      <c r="N6" s="86">
        <f>+'Year 2 IS'!E11</f>
        <v>5</v>
      </c>
      <c r="O6" s="86">
        <f>(SUM(K6:N6))*(3/12)*'Basic Input Costs'!C$49</f>
        <v>0.1952057890625</v>
      </c>
      <c r="P6" s="86">
        <f t="shared" si="0"/>
        <v>10.2703432890625</v>
      </c>
      <c r="Q6" s="86">
        <f t="shared" si="1"/>
        <v>11.842139955729166</v>
      </c>
    </row>
    <row r="7" spans="1:17" ht="12.75">
      <c r="A7" s="52" t="s">
        <v>215</v>
      </c>
      <c r="B7" s="85" t="s">
        <v>216</v>
      </c>
      <c r="C7" s="80" t="s">
        <v>59</v>
      </c>
      <c r="D7" s="80">
        <v>2</v>
      </c>
      <c r="E7" s="95">
        <v>0.69</v>
      </c>
      <c r="F7" s="95">
        <v>0.83</v>
      </c>
      <c r="G7" s="86">
        <f>+$E7*('Machinery Cost'!E6+'Machinery Cost'!E10)</f>
        <v>7.091666666666667</v>
      </c>
      <c r="H7" s="86">
        <f>+$E7*('Machinery Cost'!F6+'Machinery Cost'!F10)</f>
        <v>5.876500000000001</v>
      </c>
      <c r="I7" s="86">
        <f>+E7*('Machinery Cost'!G6+'Machinery Cost'!H6+'Machinery Cost'!I6+'Machinery Cost'!G10+'Machinery Cost'!H10+'Machinery Cost'!I10)</f>
        <v>2.161425</v>
      </c>
      <c r="J7" s="86">
        <f t="shared" si="2"/>
        <v>15.129591666666668</v>
      </c>
      <c r="K7" s="86">
        <f>+E7*('Machinery Cost'!K6+'Machinery Cost'!L6+'Machinery Cost'!K10+'Machinery Cost'!L10)</f>
        <v>15.187762499999996</v>
      </c>
      <c r="L7" s="86">
        <f>+F7*'Basic Input Costs'!C$46</f>
        <v>11.62</v>
      </c>
      <c r="M7" s="86">
        <v>0</v>
      </c>
      <c r="N7" s="86">
        <v>0</v>
      </c>
      <c r="O7" s="86">
        <f>(SUM(K7:N7))*(3/12)*'Basic Input Costs'!C$49</f>
        <v>0.5194003984374999</v>
      </c>
      <c r="P7" s="86">
        <f t="shared" si="0"/>
        <v>27.327162898437496</v>
      </c>
      <c r="Q7" s="86">
        <f t="shared" si="1"/>
        <v>42.45675456510416</v>
      </c>
    </row>
    <row r="8" spans="1:17" ht="12.75">
      <c r="A8" s="52" t="s">
        <v>52</v>
      </c>
      <c r="B8" s="85" t="s">
        <v>129</v>
      </c>
      <c r="C8" s="80" t="s">
        <v>74</v>
      </c>
      <c r="D8" s="80">
        <v>2</v>
      </c>
      <c r="E8" s="95">
        <v>0</v>
      </c>
      <c r="F8" s="95">
        <v>1.9</v>
      </c>
      <c r="G8" s="86">
        <f>+'Machinery Cost'!E18</f>
        <v>70.83333333333334</v>
      </c>
      <c r="H8" s="86">
        <f>+'Machinery Cost'!F18</f>
        <v>74.37500000000001</v>
      </c>
      <c r="I8" s="86">
        <f>+'Machinery Cost'!G18+'Machinery Cost'!H18+'Machinery Cost'!I18</f>
        <v>4.5600000000000005</v>
      </c>
      <c r="J8" s="86">
        <f t="shared" si="2"/>
        <v>149.76833333333337</v>
      </c>
      <c r="K8" s="86">
        <f>+'Machinery Cost'!K18+'Machinery Cost'!L18</f>
        <v>27.34</v>
      </c>
      <c r="L8" s="86">
        <f>+F8*'Basic Input Costs'!C$46</f>
        <v>26.599999999999998</v>
      </c>
      <c r="M8" s="86">
        <v>0</v>
      </c>
      <c r="N8" s="86">
        <f>+'Year 2 IS'!E19+'Year 2 IS'!E20</f>
        <v>110</v>
      </c>
      <c r="O8" s="86">
        <f>(SUM(K8:N8))*(6/12)*'Basic Input Costs'!C$49</f>
        <v>6.352675</v>
      </c>
      <c r="P8" s="86">
        <f t="shared" si="0"/>
        <v>170.292675</v>
      </c>
      <c r="Q8" s="86">
        <f t="shared" si="1"/>
        <v>320.06100833333335</v>
      </c>
    </row>
    <row r="9" spans="1:17" ht="12.75">
      <c r="A9" s="52" t="s">
        <v>124</v>
      </c>
      <c r="B9" s="85" t="s">
        <v>267</v>
      </c>
      <c r="C9" s="80" t="s">
        <v>74</v>
      </c>
      <c r="D9" s="80">
        <v>2</v>
      </c>
      <c r="E9" s="95">
        <v>0</v>
      </c>
      <c r="F9" s="95">
        <v>0</v>
      </c>
      <c r="G9" s="86"/>
      <c r="H9" s="86"/>
      <c r="I9" s="86"/>
      <c r="J9" s="86">
        <v>0</v>
      </c>
      <c r="K9" s="86">
        <v>0</v>
      </c>
      <c r="L9" s="86">
        <f>+'Year 2 IS'!E12</f>
        <v>220</v>
      </c>
      <c r="M9" s="86">
        <v>0</v>
      </c>
      <c r="N9" s="86">
        <v>0</v>
      </c>
      <c r="O9" s="86">
        <f>(SUM(K9:N9))*(2/12)*'Basic Input Costs'!C$49</f>
        <v>2.8416666666666663</v>
      </c>
      <c r="P9" s="86">
        <f t="shared" si="0"/>
        <v>222.84166666666667</v>
      </c>
      <c r="Q9" s="86">
        <f t="shared" si="1"/>
        <v>222.84166666666667</v>
      </c>
    </row>
    <row r="10" spans="1:17" ht="12.75">
      <c r="A10" s="52" t="s">
        <v>125</v>
      </c>
      <c r="B10" s="85" t="s">
        <v>184</v>
      </c>
      <c r="C10" s="80" t="s">
        <v>74</v>
      </c>
      <c r="D10" s="80">
        <v>2</v>
      </c>
      <c r="E10" s="95">
        <v>0.44</v>
      </c>
      <c r="F10" s="95">
        <v>0.54</v>
      </c>
      <c r="G10" s="86">
        <f>+E10*('Machinery Cost'!E15+'Machinery Cost'!E13)</f>
        <v>5.6979999999999995</v>
      </c>
      <c r="H10" s="86">
        <f>+E10*('Machinery Cost'!F15+'Machinery Cost'!F13)</f>
        <v>2.9773333333333336</v>
      </c>
      <c r="I10" s="86">
        <f>E10*(+'Machinery Cost'!G15+'Machinery Cost'!H15+'Machinery Cost'!I15+'Machinery Cost'!G13+'Machinery Cost'!H13+'Machinery Cost'!I13)</f>
        <v>1.202402666666667</v>
      </c>
      <c r="J10" s="86">
        <f t="shared" si="2"/>
        <v>9.877735999999999</v>
      </c>
      <c r="K10" s="86">
        <f>+E10*('Machinery Cost'!K14+'Machinery Cost'!L14+'Machinery Cost'!K13+'Machinery Cost'!L13)</f>
        <v>7.470096615384616</v>
      </c>
      <c r="L10" s="86">
        <f>+'Year 2 IS'!E13</f>
        <v>10</v>
      </c>
      <c r="M10" s="86">
        <v>0</v>
      </c>
      <c r="N10" s="86">
        <v>0</v>
      </c>
      <c r="O10" s="86">
        <f>(SUM(K10:N10))*(2/12)*'Basic Input Costs'!C$49</f>
        <v>0.2256554146153846</v>
      </c>
      <c r="P10" s="86">
        <f t="shared" si="0"/>
        <v>17.69575203</v>
      </c>
      <c r="Q10" s="86">
        <f t="shared" si="1"/>
        <v>27.57348803</v>
      </c>
    </row>
    <row r="11" spans="1:17" ht="12.75">
      <c r="A11" s="52" t="s">
        <v>126</v>
      </c>
      <c r="B11" s="85" t="s">
        <v>130</v>
      </c>
      <c r="C11" s="80" t="s">
        <v>74</v>
      </c>
      <c r="D11" s="80">
        <v>2</v>
      </c>
      <c r="E11" s="95">
        <v>0</v>
      </c>
      <c r="F11" s="95">
        <v>2</v>
      </c>
      <c r="G11" s="86"/>
      <c r="H11" s="86"/>
      <c r="I11" s="86"/>
      <c r="J11" s="86">
        <v>0</v>
      </c>
      <c r="K11" s="86">
        <v>0</v>
      </c>
      <c r="L11" s="86">
        <f>+'Year 2 IS'!E14</f>
        <v>20</v>
      </c>
      <c r="M11" s="86">
        <v>0</v>
      </c>
      <c r="N11" s="86">
        <v>0</v>
      </c>
      <c r="O11" s="86">
        <f>(SUM(K11:N11))*(2/12)*'Basic Input Costs'!C$49</f>
        <v>0.2583333333333333</v>
      </c>
      <c r="P11" s="86">
        <f t="shared" si="0"/>
        <v>20.258333333333333</v>
      </c>
      <c r="Q11" s="86">
        <f t="shared" si="1"/>
        <v>20.258333333333333</v>
      </c>
    </row>
    <row r="12" spans="1:17" ht="12.75">
      <c r="A12" s="52" t="s">
        <v>127</v>
      </c>
      <c r="B12" s="85" t="s">
        <v>200</v>
      </c>
      <c r="C12" s="80" t="s">
        <v>76</v>
      </c>
      <c r="D12" s="80">
        <v>2</v>
      </c>
      <c r="E12" s="95">
        <v>0.15</v>
      </c>
      <c r="F12" s="95">
        <v>0.18</v>
      </c>
      <c r="G12" s="86">
        <f>+$E12*('Machinery Cost'!E6+'Machinery Cost'!E12)</f>
        <v>0.7253666666666666</v>
      </c>
      <c r="H12" s="86">
        <f>+$E12*('Machinery Cost'!F6+'Machinery Cost'!F12)</f>
        <v>0.618205</v>
      </c>
      <c r="I12" s="86">
        <f>+E12*('Machinery Cost'!G6+'Machinery Cost'!H6+'Machinery Cost'!I6+'Machinery Cost'!G12+'Machinery Cost'!H12+'Machinery Cost'!I12)</f>
        <v>0.228225</v>
      </c>
      <c r="J12" s="86">
        <f t="shared" si="2"/>
        <v>1.5717966666666667</v>
      </c>
      <c r="K12" s="86">
        <f>+E12*('Machinery Cost'!K6+'Machinery Cost'!L6+'Machinery Cost'!K12+'Machinery Cost'!L12)</f>
        <v>2.5551374999999994</v>
      </c>
      <c r="L12" s="86">
        <f>+F12*'Basic Input Costs'!C$46</f>
        <v>2.52</v>
      </c>
      <c r="M12" s="86">
        <v>0</v>
      </c>
      <c r="N12" s="86">
        <f>+'Year 2 IS'!E16+'Year 2 IS'!E15</f>
        <v>15.45</v>
      </c>
      <c r="O12" s="86">
        <v>0</v>
      </c>
      <c r="P12" s="86">
        <f t="shared" si="0"/>
        <v>20.5251375</v>
      </c>
      <c r="Q12" s="86">
        <f t="shared" si="1"/>
        <v>22.096934166666667</v>
      </c>
    </row>
    <row r="13" spans="1:17" ht="12.75">
      <c r="A13" s="52" t="s">
        <v>47</v>
      </c>
      <c r="B13" s="85" t="s">
        <v>62</v>
      </c>
      <c r="C13" s="80" t="s">
        <v>76</v>
      </c>
      <c r="D13" s="80">
        <v>2</v>
      </c>
      <c r="E13" s="102">
        <v>0</v>
      </c>
      <c r="F13" s="95">
        <v>0</v>
      </c>
      <c r="G13" s="86"/>
      <c r="H13" s="86"/>
      <c r="I13" s="86"/>
      <c r="J13" s="86">
        <v>0</v>
      </c>
      <c r="K13" s="86">
        <v>0</v>
      </c>
      <c r="L13" s="86">
        <f>+F13*'Basic Input Costs'!C$46</f>
        <v>0</v>
      </c>
      <c r="M13" s="86">
        <f>+'Year 2 IS'!E17</f>
        <v>7.5</v>
      </c>
      <c r="N13" s="86">
        <f>+'Year 2 IS'!E18</f>
        <v>68.39999999999999</v>
      </c>
      <c r="O13" s="86">
        <v>0</v>
      </c>
      <c r="P13" s="86">
        <f t="shared" si="0"/>
        <v>75.89999999999999</v>
      </c>
      <c r="Q13" s="86">
        <f t="shared" si="1"/>
        <v>75.89999999999999</v>
      </c>
    </row>
    <row r="14" spans="1:17" ht="12.75">
      <c r="A14" s="52" t="s">
        <v>120</v>
      </c>
      <c r="B14" s="85" t="s">
        <v>128</v>
      </c>
      <c r="C14" s="80" t="s">
        <v>131</v>
      </c>
      <c r="D14" s="80">
        <v>2</v>
      </c>
      <c r="E14" s="95">
        <v>0</v>
      </c>
      <c r="F14" s="95">
        <v>0</v>
      </c>
      <c r="G14" s="86"/>
      <c r="H14" s="86"/>
      <c r="I14" s="86"/>
      <c r="J14" s="86">
        <v>0</v>
      </c>
      <c r="K14" s="86">
        <v>0</v>
      </c>
      <c r="L14" s="86">
        <f>+F14*'Basic Input Costs'!C$46</f>
        <v>0</v>
      </c>
      <c r="M14" s="86">
        <f>+'Year 2 IS'!E8</f>
        <v>7.5</v>
      </c>
      <c r="N14" s="86">
        <f>+'Year 2 IS'!E9+'Year 2 IS'!E10</f>
        <v>27.906800000000004</v>
      </c>
      <c r="O14" s="86">
        <f>(SUM(K14:N14))*(11/12)*'Basic Input Costs'!C$49</f>
        <v>2.5153580833333335</v>
      </c>
      <c r="P14" s="86">
        <f>SUM(K14:O14)</f>
        <v>37.922158083333336</v>
      </c>
      <c r="Q14" s="86">
        <f>+P14+J14</f>
        <v>37.922158083333336</v>
      </c>
    </row>
    <row r="15" spans="1:17" ht="12.75">
      <c r="A15" s="52" t="s">
        <v>55</v>
      </c>
      <c r="B15" s="88" t="s">
        <v>68</v>
      </c>
      <c r="C15" s="80" t="s">
        <v>77</v>
      </c>
      <c r="D15" s="80">
        <v>2</v>
      </c>
      <c r="E15" s="95">
        <v>0</v>
      </c>
      <c r="F15" s="95">
        <v>0</v>
      </c>
      <c r="G15" s="86"/>
      <c r="H15" s="86"/>
      <c r="I15" s="86"/>
      <c r="J15" s="86">
        <f>+'Basic Input Costs'!C48*'Year 6-15 IS '!E5</f>
        <v>234.5</v>
      </c>
      <c r="K15" s="86">
        <v>0</v>
      </c>
      <c r="L15" s="86">
        <f>+F15*'Basic Input Costs'!C$46</f>
        <v>0</v>
      </c>
      <c r="M15" s="86">
        <v>0</v>
      </c>
      <c r="N15" s="86">
        <v>0</v>
      </c>
      <c r="O15" s="86">
        <v>0</v>
      </c>
      <c r="P15" s="86">
        <f t="shared" si="0"/>
        <v>0</v>
      </c>
      <c r="Q15" s="86">
        <f t="shared" si="1"/>
        <v>234.5</v>
      </c>
    </row>
    <row r="16" spans="1:17" ht="12.75">
      <c r="A16" s="52" t="s">
        <v>31</v>
      </c>
      <c r="B16" s="85" t="s">
        <v>69</v>
      </c>
      <c r="C16" s="80" t="s">
        <v>77</v>
      </c>
      <c r="D16" s="80">
        <v>2</v>
      </c>
      <c r="E16" s="95">
        <v>1</v>
      </c>
      <c r="F16" s="95">
        <v>0</v>
      </c>
      <c r="G16" s="86">
        <f>+E16*'Machinery Cost'!E15</f>
        <v>8.75</v>
      </c>
      <c r="H16" s="86">
        <f>+E16*'Machinery Cost'!F15</f>
        <v>3.6166666666666667</v>
      </c>
      <c r="I16" s="86">
        <f>+E16*('Machinery Cost'!G15+'Machinery Cost'!H15+'Machinery Cost'!I15)</f>
        <v>1.5513333333333335</v>
      </c>
      <c r="J16" s="86">
        <f>+G16+H16+I16</f>
        <v>13.918000000000001</v>
      </c>
      <c r="K16" s="86">
        <f>+E16*('Machinery Cost'!K15+'Machinery Cost'!L15)</f>
        <v>15.142666666666667</v>
      </c>
      <c r="L16" s="86">
        <f>+F16*'Basic Input Costs'!C$46</f>
        <v>0</v>
      </c>
      <c r="M16" s="86">
        <v>0</v>
      </c>
      <c r="N16" s="86">
        <v>0</v>
      </c>
      <c r="O16" s="86">
        <f>(SUM(K16:N16))*(6/12)*'Basic Input Costs'!C$49</f>
        <v>0.5867783333333333</v>
      </c>
      <c r="P16" s="86">
        <f t="shared" si="0"/>
        <v>15.729445</v>
      </c>
      <c r="Q16" s="86">
        <f t="shared" si="1"/>
        <v>29.647445</v>
      </c>
    </row>
    <row r="17" spans="1:17" ht="12.75">
      <c r="A17" s="52" t="s">
        <v>56</v>
      </c>
      <c r="B17" s="85" t="s">
        <v>69</v>
      </c>
      <c r="C17" s="80" t="s">
        <v>77</v>
      </c>
      <c r="D17" s="80">
        <v>2</v>
      </c>
      <c r="E17" s="95">
        <v>0.75</v>
      </c>
      <c r="F17" s="95">
        <v>0</v>
      </c>
      <c r="G17" s="86">
        <f>+E17*'Machinery Cost'!E14</f>
        <v>5.769230769230769</v>
      </c>
      <c r="H17" s="86">
        <f>+E17*'Machinery Cost'!F14</f>
        <v>2.019230769230769</v>
      </c>
      <c r="I17" s="86">
        <f>+E17*('Machinery Cost'!G14+'Machinery Cost'!H14+'Machinery Cost'!I14)</f>
        <v>0.6300000000000001</v>
      </c>
      <c r="J17" s="86">
        <f>+G17+H17+I17</f>
        <v>8.418461538461539</v>
      </c>
      <c r="K17" s="86">
        <f>+E17*('Machinery Cost'!K14+'Machinery Cost'!L14)</f>
        <v>9.99576923076923</v>
      </c>
      <c r="L17" s="86">
        <f>+F17*'Basic Input Costs'!C$46</f>
        <v>0</v>
      </c>
      <c r="M17" s="86">
        <v>0</v>
      </c>
      <c r="N17" s="86">
        <v>0</v>
      </c>
      <c r="O17" s="86">
        <f>(SUM(K17:N17))*(6/12)*'Basic Input Costs'!C$49</f>
        <v>0.38733605769230767</v>
      </c>
      <c r="P17" s="86">
        <f t="shared" si="0"/>
        <v>10.383105288461538</v>
      </c>
      <c r="Q17" s="86">
        <f t="shared" si="1"/>
        <v>18.80156682692308</v>
      </c>
    </row>
    <row r="18" spans="1:17" ht="12.75">
      <c r="A18" s="52" t="s">
        <v>14</v>
      </c>
      <c r="B18" s="85" t="s">
        <v>140</v>
      </c>
      <c r="C18" s="80" t="s">
        <v>77</v>
      </c>
      <c r="D18" s="80">
        <v>2</v>
      </c>
      <c r="E18" s="95">
        <v>0</v>
      </c>
      <c r="F18" s="95">
        <v>0</v>
      </c>
      <c r="G18" s="86"/>
      <c r="H18" s="86"/>
      <c r="I18" s="86"/>
      <c r="J18" s="86">
        <f>+'Basic Input Costs'!F56*-1</f>
        <v>226.0210988007872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f>+P18+J18</f>
        <v>226.0210988007872</v>
      </c>
    </row>
    <row r="19" spans="1:17" ht="12.75">
      <c r="A19" s="52" t="s">
        <v>57</v>
      </c>
      <c r="B19" s="85" t="s">
        <v>237</v>
      </c>
      <c r="C19" s="80" t="s">
        <v>77</v>
      </c>
      <c r="D19" s="80">
        <v>2</v>
      </c>
      <c r="E19" s="95">
        <v>0</v>
      </c>
      <c r="F19" s="95">
        <v>0</v>
      </c>
      <c r="G19" s="86"/>
      <c r="H19" s="86"/>
      <c r="I19" s="86"/>
      <c r="J19" s="86">
        <f>+'Year 2 IS'!C34</f>
        <v>566.6666666666666</v>
      </c>
      <c r="K19" s="86">
        <v>0</v>
      </c>
      <c r="L19" s="86">
        <f>+F19*'Basic Input Costs'!C$46</f>
        <v>0</v>
      </c>
      <c r="M19" s="86">
        <v>0</v>
      </c>
      <c r="N19" s="86">
        <v>0</v>
      </c>
      <c r="O19" s="86">
        <f>(SUM(K19:N19))*(6/12)*'Basic Input Costs'!C$49</f>
        <v>0</v>
      </c>
      <c r="P19" s="86">
        <f t="shared" si="0"/>
        <v>0</v>
      </c>
      <c r="Q19" s="86">
        <f t="shared" si="1"/>
        <v>566.6666666666666</v>
      </c>
    </row>
    <row r="20" spans="1:17" ht="12.75">
      <c r="A20" s="52" t="s">
        <v>40</v>
      </c>
      <c r="B20" s="85" t="s">
        <v>70</v>
      </c>
      <c r="C20" s="80" t="s">
        <v>77</v>
      </c>
      <c r="D20" s="80">
        <v>2</v>
      </c>
      <c r="E20" s="95">
        <v>0</v>
      </c>
      <c r="F20" s="95">
        <v>0</v>
      </c>
      <c r="G20" s="86"/>
      <c r="H20" s="86"/>
      <c r="I20" s="86"/>
      <c r="J20" s="86">
        <f>+'Basic Input Costs'!C44</f>
        <v>134.6</v>
      </c>
      <c r="K20" s="86">
        <v>0</v>
      </c>
      <c r="L20" s="86">
        <f>+F20*'Basic Input Costs'!C$46</f>
        <v>0</v>
      </c>
      <c r="M20" s="86">
        <v>0</v>
      </c>
      <c r="N20" s="86">
        <v>0</v>
      </c>
      <c r="O20" s="86">
        <f>(SUM(K20:N20))*(6/12)*'Basic Input Costs'!C$49</f>
        <v>0</v>
      </c>
      <c r="P20" s="86">
        <f t="shared" si="0"/>
        <v>0</v>
      </c>
      <c r="Q20" s="86">
        <f t="shared" si="1"/>
        <v>134.6</v>
      </c>
    </row>
    <row r="21" spans="1:17" ht="12.75">
      <c r="A21" s="52" t="s">
        <v>40</v>
      </c>
      <c r="B21" s="85" t="s">
        <v>185</v>
      </c>
      <c r="C21" s="80" t="s">
        <v>77</v>
      </c>
      <c r="D21" s="80">
        <v>2</v>
      </c>
      <c r="E21" s="95">
        <v>0</v>
      </c>
      <c r="F21" s="95">
        <v>0</v>
      </c>
      <c r="G21" s="86"/>
      <c r="H21" s="86"/>
      <c r="I21" s="86"/>
      <c r="J21" s="86">
        <f>+L23*'Basic Input Costs'!C47</f>
        <v>50.9252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f t="shared" si="1"/>
        <v>50.9252</v>
      </c>
    </row>
    <row r="22" spans="1:17" s="15" customFormat="1" ht="15.75" customHeight="1" thickBot="1">
      <c r="A22" s="79" t="s">
        <v>58</v>
      </c>
      <c r="B22" s="89" t="s">
        <v>71</v>
      </c>
      <c r="C22" s="90" t="s">
        <v>77</v>
      </c>
      <c r="D22" s="80">
        <v>2</v>
      </c>
      <c r="E22" s="97">
        <v>0</v>
      </c>
      <c r="F22" s="97">
        <v>0</v>
      </c>
      <c r="G22" s="91"/>
      <c r="H22" s="91"/>
      <c r="I22" s="91"/>
      <c r="J22" s="91">
        <v>0</v>
      </c>
      <c r="K22" s="91">
        <v>0</v>
      </c>
      <c r="L22" s="91">
        <f>+F22*'Basic Input Costs'!C$46</f>
        <v>0</v>
      </c>
      <c r="M22" s="91">
        <v>0</v>
      </c>
      <c r="N22" s="91">
        <v>60</v>
      </c>
      <c r="O22" s="91">
        <f>(SUM(K22:N22))*(6/12)*'Basic Input Costs'!C$49</f>
        <v>2.325</v>
      </c>
      <c r="P22" s="91">
        <f t="shared" si="0"/>
        <v>62.325</v>
      </c>
      <c r="Q22" s="91">
        <f t="shared" si="1"/>
        <v>62.325</v>
      </c>
    </row>
    <row r="23" spans="1:17" ht="18" customHeight="1" thickBot="1">
      <c r="A23" s="92" t="s">
        <v>72</v>
      </c>
      <c r="B23" s="93" t="s">
        <v>72</v>
      </c>
      <c r="C23" s="92"/>
      <c r="D23" s="92"/>
      <c r="E23" s="94">
        <f aca="true" t="shared" si="3" ref="E23:Q23">SUM(E5:E22)</f>
        <v>3.55</v>
      </c>
      <c r="F23" s="94">
        <f t="shared" si="3"/>
        <v>6.08</v>
      </c>
      <c r="G23" s="94">
        <f>SUM(G5:G22)</f>
        <v>101.42512188034189</v>
      </c>
      <c r="H23" s="94">
        <f>SUM(H5:H22)</f>
        <v>91.93748576923079</v>
      </c>
      <c r="I23" s="94">
        <f>SUM(I5:I22)</f>
        <v>11.124566000000003</v>
      </c>
      <c r="J23" s="94">
        <f t="shared" si="3"/>
        <v>1417.2001391170263</v>
      </c>
      <c r="K23" s="94">
        <f t="shared" si="3"/>
        <v>86.54924251282051</v>
      </c>
      <c r="L23" s="94">
        <f t="shared" si="3"/>
        <v>299.55999999999995</v>
      </c>
      <c r="M23" s="94">
        <f t="shared" si="3"/>
        <v>15</v>
      </c>
      <c r="N23" s="94">
        <f t="shared" si="3"/>
        <v>286.7568</v>
      </c>
      <c r="O23" s="94">
        <f t="shared" si="3"/>
        <v>16.45158585616186</v>
      </c>
      <c r="P23" s="94">
        <f t="shared" si="3"/>
        <v>704.3176283689825</v>
      </c>
      <c r="Q23" s="94">
        <f t="shared" si="3"/>
        <v>2121.517767486009</v>
      </c>
    </row>
    <row r="24" spans="5:9" ht="12.75">
      <c r="E24" s="10"/>
      <c r="F24" s="10"/>
      <c r="G24" s="10"/>
      <c r="H24" s="10"/>
      <c r="I24" s="10"/>
    </row>
    <row r="25" spans="5:9" ht="12.75">
      <c r="E25" s="10"/>
      <c r="F25" s="10"/>
      <c r="G25" s="10"/>
      <c r="H25" s="10"/>
      <c r="I25" s="10"/>
    </row>
  </sheetData>
  <sheetProtection/>
  <mergeCells count="1">
    <mergeCell ref="A1:Q1"/>
  </mergeCells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Footer>&amp;L&amp;Z&amp;F&amp;R&amp;D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3.421875" style="0" bestFit="1" customWidth="1"/>
    <col min="2" max="2" width="9.140625" style="1" customWidth="1"/>
    <col min="3" max="3" width="9.8515625" style="0" customWidth="1"/>
    <col min="4" max="4" width="10.57421875" style="0" customWidth="1"/>
    <col min="5" max="5" width="10.421875" style="0" customWidth="1"/>
  </cols>
  <sheetData>
    <row r="1" spans="1:5" s="15" customFormat="1" ht="18" customHeight="1" thickBot="1">
      <c r="A1" s="125" t="s">
        <v>298</v>
      </c>
      <c r="B1" s="125"/>
      <c r="C1" s="125"/>
      <c r="D1" s="125"/>
      <c r="E1" s="125"/>
    </row>
    <row r="2" spans="1:5" ht="12.75">
      <c r="A2" s="52"/>
      <c r="B2" s="80"/>
      <c r="C2" s="80" t="s">
        <v>82</v>
      </c>
      <c r="D2" s="80"/>
      <c r="E2" s="80" t="s">
        <v>85</v>
      </c>
    </row>
    <row r="3" spans="1:5" ht="13.5" thickBot="1">
      <c r="A3" s="82"/>
      <c r="B3" s="83" t="s">
        <v>81</v>
      </c>
      <c r="C3" s="83" t="s">
        <v>83</v>
      </c>
      <c r="D3" s="83" t="s">
        <v>84</v>
      </c>
      <c r="E3" s="83" t="s">
        <v>9</v>
      </c>
    </row>
    <row r="4" spans="1:5" ht="12.75">
      <c r="A4" s="98" t="s">
        <v>141</v>
      </c>
      <c r="B4" s="99"/>
      <c r="C4" s="99"/>
      <c r="D4" s="99"/>
      <c r="E4" s="99"/>
    </row>
    <row r="5" spans="1:5" ht="12.75">
      <c r="A5" s="98" t="s">
        <v>142</v>
      </c>
      <c r="B5" s="99" t="s">
        <v>105</v>
      </c>
      <c r="C5" s="100">
        <f>+'Basic Input Costs'!D5</f>
        <v>0.67</v>
      </c>
      <c r="D5" s="104">
        <f>+'Basic Input Costs'!D6</f>
        <v>1000</v>
      </c>
      <c r="E5" s="101">
        <f>+D5*C5</f>
        <v>670</v>
      </c>
    </row>
    <row r="6" spans="1:5" ht="12.75">
      <c r="A6" s="98"/>
      <c r="B6" s="99"/>
      <c r="C6" s="99"/>
      <c r="D6" s="105"/>
      <c r="E6" s="99"/>
    </row>
    <row r="7" spans="1:5" ht="12.75">
      <c r="A7" s="52" t="s">
        <v>80</v>
      </c>
      <c r="B7" s="80"/>
      <c r="C7" s="52"/>
      <c r="D7" s="50"/>
      <c r="E7" s="52"/>
    </row>
    <row r="8" spans="1:5" ht="12.75">
      <c r="A8" s="52" t="s">
        <v>92</v>
      </c>
      <c r="B8" s="80" t="s">
        <v>103</v>
      </c>
      <c r="C8" s="86">
        <f>+'Basic Input Costs'!C34</f>
        <v>7.5</v>
      </c>
      <c r="D8" s="95">
        <v>1</v>
      </c>
      <c r="E8" s="86">
        <f aca="true" t="shared" si="0" ref="E8:E23">+D8*C8</f>
        <v>7.5</v>
      </c>
    </row>
    <row r="9" spans="1:5" ht="12.75">
      <c r="A9" s="52" t="s">
        <v>93</v>
      </c>
      <c r="B9" s="80" t="s">
        <v>106</v>
      </c>
      <c r="C9" s="86">
        <f>+'Basic Input Costs'!C16</f>
        <v>147.36</v>
      </c>
      <c r="D9" s="95">
        <v>0.13</v>
      </c>
      <c r="E9" s="86">
        <f t="shared" si="0"/>
        <v>19.156800000000004</v>
      </c>
    </row>
    <row r="10" spans="1:5" ht="12.75">
      <c r="A10" s="52" t="s">
        <v>94</v>
      </c>
      <c r="B10" s="80" t="s">
        <v>106</v>
      </c>
      <c r="C10" s="86">
        <f>+'Basic Input Costs'!C17</f>
        <v>35</v>
      </c>
      <c r="D10" s="95">
        <v>0.25</v>
      </c>
      <c r="E10" s="86">
        <f t="shared" si="0"/>
        <v>8.75</v>
      </c>
    </row>
    <row r="11" spans="1:5" ht="12.75">
      <c r="A11" s="52" t="s">
        <v>132</v>
      </c>
      <c r="B11" s="80" t="s">
        <v>106</v>
      </c>
      <c r="C11" s="86">
        <f>+'Basic Input Costs'!C18</f>
        <v>20</v>
      </c>
      <c r="D11" s="95">
        <v>0.25</v>
      </c>
      <c r="E11" s="86">
        <f t="shared" si="0"/>
        <v>5</v>
      </c>
    </row>
    <row r="12" spans="1:5" ht="12.75">
      <c r="A12" s="52" t="s">
        <v>186</v>
      </c>
      <c r="B12" s="80" t="s">
        <v>105</v>
      </c>
      <c r="C12" s="86">
        <f>+'Basic Input Costs'!C25</f>
        <v>0.22</v>
      </c>
      <c r="D12" s="108">
        <f>+D5</f>
        <v>1000</v>
      </c>
      <c r="E12" s="86">
        <f t="shared" si="0"/>
        <v>220</v>
      </c>
    </row>
    <row r="13" spans="1:5" ht="12.75">
      <c r="A13" s="52" t="s">
        <v>187</v>
      </c>
      <c r="B13" s="80" t="s">
        <v>105</v>
      </c>
      <c r="C13" s="86">
        <f>+'Basic Input Costs'!C26</f>
        <v>0.01</v>
      </c>
      <c r="D13" s="108">
        <f>+D5</f>
        <v>1000</v>
      </c>
      <c r="E13" s="86">
        <f t="shared" si="0"/>
        <v>10</v>
      </c>
    </row>
    <row r="14" spans="1:5" ht="12.75">
      <c r="A14" s="52" t="s">
        <v>188</v>
      </c>
      <c r="B14" s="80" t="s">
        <v>105</v>
      </c>
      <c r="C14" s="86">
        <f>+'Basic Input Costs'!C27</f>
        <v>0.02</v>
      </c>
      <c r="D14" s="108">
        <f>+D5</f>
        <v>1000</v>
      </c>
      <c r="E14" s="86">
        <f t="shared" si="0"/>
        <v>20</v>
      </c>
    </row>
    <row r="15" spans="1:5" ht="12.75">
      <c r="A15" s="52" t="s">
        <v>133</v>
      </c>
      <c r="B15" s="80" t="s">
        <v>105</v>
      </c>
      <c r="C15" s="86">
        <f>+'Basic Input Costs'!C19</f>
        <v>6.05</v>
      </c>
      <c r="D15" s="95">
        <v>1.2</v>
      </c>
      <c r="E15" s="86">
        <f t="shared" si="0"/>
        <v>7.26</v>
      </c>
    </row>
    <row r="16" spans="1:5" ht="12.75">
      <c r="A16" s="52" t="s">
        <v>134</v>
      </c>
      <c r="B16" s="80" t="s">
        <v>105</v>
      </c>
      <c r="C16" s="86">
        <f>+'Basic Input Costs'!C20</f>
        <v>13</v>
      </c>
      <c r="D16" s="95">
        <v>0.63</v>
      </c>
      <c r="E16" s="86">
        <f t="shared" si="0"/>
        <v>8.19</v>
      </c>
    </row>
    <row r="17" spans="1:5" ht="12.75">
      <c r="A17" s="52" t="s">
        <v>135</v>
      </c>
      <c r="B17" s="80" t="s">
        <v>103</v>
      </c>
      <c r="C17" s="86">
        <f>+'Basic Input Costs'!C33</f>
        <v>7.5</v>
      </c>
      <c r="D17" s="95">
        <v>1</v>
      </c>
      <c r="E17" s="86">
        <f t="shared" si="0"/>
        <v>7.5</v>
      </c>
    </row>
    <row r="18" spans="1:5" ht="12.75">
      <c r="A18" s="52" t="s">
        <v>89</v>
      </c>
      <c r="B18" s="80" t="s">
        <v>105</v>
      </c>
      <c r="C18" s="86">
        <f>+'Basic Input Costs'!C10</f>
        <v>0.57</v>
      </c>
      <c r="D18" s="95">
        <v>120</v>
      </c>
      <c r="E18" s="86">
        <f t="shared" si="0"/>
        <v>68.39999999999999</v>
      </c>
    </row>
    <row r="19" spans="1:5" ht="12.75">
      <c r="A19" s="52" t="s">
        <v>190</v>
      </c>
      <c r="B19" s="80" t="s">
        <v>103</v>
      </c>
      <c r="C19" s="86">
        <f>+'Basic Input Costs'!C38</f>
        <v>60</v>
      </c>
      <c r="D19" s="95">
        <v>1</v>
      </c>
      <c r="E19" s="86">
        <f t="shared" si="0"/>
        <v>60</v>
      </c>
    </row>
    <row r="20" spans="1:5" ht="12.75">
      <c r="A20" s="52" t="s">
        <v>96</v>
      </c>
      <c r="B20" s="80" t="s">
        <v>103</v>
      </c>
      <c r="C20" s="86">
        <f>+'Basic Input Costs'!C39</f>
        <v>50</v>
      </c>
      <c r="D20" s="95">
        <v>1</v>
      </c>
      <c r="E20" s="86">
        <f t="shared" si="0"/>
        <v>50</v>
      </c>
    </row>
    <row r="21" spans="1:5" ht="12.75">
      <c r="A21" s="52" t="s">
        <v>206</v>
      </c>
      <c r="B21" s="80" t="s">
        <v>103</v>
      </c>
      <c r="C21" s="86">
        <f>+'Year 2 SOP'!K23</f>
        <v>86.54924251282051</v>
      </c>
      <c r="D21" s="95">
        <v>1</v>
      </c>
      <c r="E21" s="86">
        <f t="shared" si="0"/>
        <v>86.54924251282051</v>
      </c>
    </row>
    <row r="22" spans="1:5" ht="12.75">
      <c r="A22" s="52" t="s">
        <v>137</v>
      </c>
      <c r="B22" s="80" t="s">
        <v>103</v>
      </c>
      <c r="C22" s="86">
        <f>+'Year 2 SOP'!L23-'Year 2 SOP'!L9-'Year 2 SOP'!L10-'Year 2 SOP'!L11</f>
        <v>49.559999999999945</v>
      </c>
      <c r="D22" s="95">
        <v>1</v>
      </c>
      <c r="E22" s="86">
        <f t="shared" si="0"/>
        <v>49.559999999999945</v>
      </c>
    </row>
    <row r="23" spans="1:5" ht="12.75">
      <c r="A23" s="52" t="s">
        <v>97</v>
      </c>
      <c r="B23" s="80" t="s">
        <v>103</v>
      </c>
      <c r="C23" s="86">
        <f>+'Year 2 SOP'!O23</f>
        <v>16.45158585616186</v>
      </c>
      <c r="D23" s="95">
        <v>1</v>
      </c>
      <c r="E23" s="86">
        <f t="shared" si="0"/>
        <v>16.45158585616186</v>
      </c>
    </row>
    <row r="24" spans="1:5" ht="12.75">
      <c r="A24" s="52" t="s">
        <v>58</v>
      </c>
      <c r="B24" s="80" t="s">
        <v>103</v>
      </c>
      <c r="C24" s="86">
        <f>+'Basic Input Costs'!C42</f>
        <v>60</v>
      </c>
      <c r="D24" s="95">
        <v>1</v>
      </c>
      <c r="E24" s="86">
        <f>+D24*C24</f>
        <v>60</v>
      </c>
    </row>
    <row r="25" spans="1:5" ht="12.75">
      <c r="A25" s="52"/>
      <c r="B25" s="80"/>
      <c r="C25" s="86"/>
      <c r="D25" s="86"/>
      <c r="E25" s="86"/>
    </row>
    <row r="26" spans="1:5" ht="12.75">
      <c r="A26" s="52" t="s">
        <v>98</v>
      </c>
      <c r="B26" s="80"/>
      <c r="C26" s="86"/>
      <c r="D26" s="86"/>
      <c r="E26" s="86">
        <f>SUM(E8:E24)</f>
        <v>704.3176283689822</v>
      </c>
    </row>
    <row r="27" spans="1:5" ht="12.75">
      <c r="A27" s="52"/>
      <c r="B27" s="80"/>
      <c r="C27" s="86"/>
      <c r="D27" s="86"/>
      <c r="E27" s="86"/>
    </row>
    <row r="28" spans="1:5" ht="12.75">
      <c r="A28" s="52" t="s">
        <v>99</v>
      </c>
      <c r="B28" s="80"/>
      <c r="C28" s="86"/>
      <c r="D28" s="86"/>
      <c r="E28" s="86"/>
    </row>
    <row r="29" spans="1:5" ht="12.75">
      <c r="A29" s="52" t="s">
        <v>100</v>
      </c>
      <c r="B29" s="80" t="s">
        <v>103</v>
      </c>
      <c r="C29" s="86">
        <f>+'Year 2 SOP'!G23</f>
        <v>101.42512188034189</v>
      </c>
      <c r="D29" s="95">
        <v>1</v>
      </c>
      <c r="E29" s="86">
        <f aca="true" t="shared" si="1" ref="E29:E35">+D29*C29</f>
        <v>101.42512188034189</v>
      </c>
    </row>
    <row r="30" spans="1:5" ht="12.75">
      <c r="A30" s="52" t="s">
        <v>101</v>
      </c>
      <c r="B30" s="80" t="s">
        <v>103</v>
      </c>
      <c r="C30" s="86">
        <f>+'Year 2 SOP'!H23</f>
        <v>91.93748576923079</v>
      </c>
      <c r="D30" s="95">
        <v>1</v>
      </c>
      <c r="E30" s="86">
        <f t="shared" si="1"/>
        <v>91.93748576923079</v>
      </c>
    </row>
    <row r="31" spans="1:5" ht="12.75">
      <c r="A31" s="52" t="s">
        <v>102</v>
      </c>
      <c r="B31" s="80" t="s">
        <v>103</v>
      </c>
      <c r="C31" s="86">
        <f>+'Year 2 SOP'!I23</f>
        <v>11.124566000000003</v>
      </c>
      <c r="D31" s="95">
        <v>1</v>
      </c>
      <c r="E31" s="86">
        <f t="shared" si="1"/>
        <v>11.124566000000003</v>
      </c>
    </row>
    <row r="32" spans="1:5" ht="12.75">
      <c r="A32" s="52" t="s">
        <v>107</v>
      </c>
      <c r="B32" s="80" t="s">
        <v>103</v>
      </c>
      <c r="C32" s="86">
        <f>+'Basic Input Costs'!C44</f>
        <v>134.6</v>
      </c>
      <c r="D32" s="95">
        <v>1</v>
      </c>
      <c r="E32" s="86">
        <f t="shared" si="1"/>
        <v>134.6</v>
      </c>
    </row>
    <row r="33" spans="1:5" ht="12.75">
      <c r="A33" s="52" t="s">
        <v>189</v>
      </c>
      <c r="B33" s="80" t="s">
        <v>103</v>
      </c>
      <c r="C33" s="86">
        <f>+'Year 2 SOP'!J21</f>
        <v>50.9252</v>
      </c>
      <c r="D33" s="95">
        <v>1</v>
      </c>
      <c r="E33" s="86">
        <f>+D33*C33</f>
        <v>50.9252</v>
      </c>
    </row>
    <row r="34" spans="1:5" ht="12.75">
      <c r="A34" s="85" t="s">
        <v>237</v>
      </c>
      <c r="B34" s="80" t="s">
        <v>103</v>
      </c>
      <c r="C34" s="86">
        <f>+'Basic Input Costs'!C43</f>
        <v>566.6666666666666</v>
      </c>
      <c r="D34" s="95">
        <v>1</v>
      </c>
      <c r="E34" s="86">
        <f t="shared" si="1"/>
        <v>566.6666666666666</v>
      </c>
    </row>
    <row r="35" spans="1:5" ht="12.75">
      <c r="A35" s="52" t="s">
        <v>55</v>
      </c>
      <c r="B35" s="80" t="s">
        <v>103</v>
      </c>
      <c r="C35" s="86">
        <f>+'Year 2 SOP'!J15</f>
        <v>234.5</v>
      </c>
      <c r="D35" s="95">
        <v>1</v>
      </c>
      <c r="E35" s="86">
        <f t="shared" si="1"/>
        <v>234.5</v>
      </c>
    </row>
    <row r="36" spans="1:5" ht="12.75">
      <c r="A36" s="52" t="s">
        <v>139</v>
      </c>
      <c r="B36" s="80" t="s">
        <v>103</v>
      </c>
      <c r="C36" s="86">
        <f>+'Year 2 SOP'!J18</f>
        <v>226.0210988007872</v>
      </c>
      <c r="D36" s="95">
        <v>1</v>
      </c>
      <c r="E36" s="86">
        <f>+D36*C36</f>
        <v>226.0210988007872</v>
      </c>
    </row>
    <row r="37" spans="1:5" ht="12.75">
      <c r="A37" s="52"/>
      <c r="B37" s="80"/>
      <c r="C37" s="86"/>
      <c r="D37" s="86"/>
      <c r="E37" s="86"/>
    </row>
    <row r="38" spans="1:5" ht="12.75">
      <c r="A38" s="52" t="s">
        <v>109</v>
      </c>
      <c r="B38" s="80"/>
      <c r="C38" s="86"/>
      <c r="D38" s="86"/>
      <c r="E38" s="86">
        <f>SUM(E29:E36)</f>
        <v>1417.2001391170268</v>
      </c>
    </row>
    <row r="39" spans="1:5" ht="12.75">
      <c r="A39" s="52"/>
      <c r="B39" s="80"/>
      <c r="C39" s="86"/>
      <c r="D39" s="86"/>
      <c r="E39" s="86"/>
    </row>
    <row r="40" spans="1:5" ht="12.75">
      <c r="A40" s="103" t="s">
        <v>108</v>
      </c>
      <c r="B40" s="80"/>
      <c r="C40" s="86"/>
      <c r="D40" s="86"/>
      <c r="E40" s="86">
        <f>+E38+E26</f>
        <v>2121.517767486009</v>
      </c>
    </row>
    <row r="41" spans="1:5" ht="12.75">
      <c r="A41" s="103"/>
      <c r="B41" s="80"/>
      <c r="C41" s="86"/>
      <c r="D41" s="86"/>
      <c r="E41" s="86"/>
    </row>
    <row r="42" spans="1:5" ht="13.5" thickBot="1">
      <c r="A42" s="79" t="s">
        <v>144</v>
      </c>
      <c r="B42" s="90"/>
      <c r="C42" s="91"/>
      <c r="D42" s="91"/>
      <c r="E42" s="91">
        <f>+E5-E40</f>
        <v>-1451.5177674860088</v>
      </c>
    </row>
    <row r="45" s="15" customFormat="1" ht="18" customHeight="1"/>
  </sheetData>
  <sheetProtection/>
  <mergeCells count="1">
    <mergeCell ref="A1:E1"/>
  </mergeCells>
  <printOptions/>
  <pageMargins left="1" right="0.75" top="1" bottom="1" header="0.5" footer="0.5"/>
  <pageSetup horizontalDpi="600" verticalDpi="600" orientation="portrait" r:id="rId1"/>
  <headerFooter alignWithMargins="0">
    <oddFooter>&amp;L&amp;Z&amp;F&amp;R&amp;D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pane xSplit="14955" topLeftCell="N1" activePane="topLeft" state="split"/>
      <selection pane="topLeft" activeCell="A1" sqref="A1:Q1"/>
      <selection pane="topRight" activeCell="N1" sqref="N1"/>
    </sheetView>
  </sheetViews>
  <sheetFormatPr defaultColWidth="9.140625" defaultRowHeight="12.75"/>
  <cols>
    <col min="1" max="1" width="15.8515625" style="0" customWidth="1"/>
    <col min="2" max="2" width="27.140625" style="0" customWidth="1"/>
    <col min="3" max="3" width="5.8515625" style="0" customWidth="1"/>
    <col min="4" max="4" width="6.140625" style="0" customWidth="1"/>
    <col min="5" max="5" width="8.421875" style="0" customWidth="1"/>
    <col min="6" max="6" width="7.7109375" style="0" customWidth="1"/>
    <col min="7" max="9" width="7.7109375" style="0" hidden="1" customWidth="1"/>
    <col min="10" max="14" width="9.140625" style="10" customWidth="1"/>
    <col min="15" max="15" width="8.57421875" style="10" customWidth="1"/>
    <col min="16" max="17" width="9.140625" style="10" customWidth="1"/>
  </cols>
  <sheetData>
    <row r="1" spans="1:17" ht="18" customHeight="1" thickBot="1">
      <c r="A1" s="124" t="s">
        <v>299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52"/>
      <c r="B2" s="80"/>
      <c r="C2" s="80"/>
      <c r="D2" s="80"/>
      <c r="E2" s="80"/>
      <c r="F2" s="80"/>
      <c r="G2" s="80"/>
      <c r="H2" s="80"/>
      <c r="I2" s="80" t="s">
        <v>212</v>
      </c>
      <c r="J2" s="81" t="s">
        <v>7</v>
      </c>
      <c r="K2" s="81" t="s">
        <v>10</v>
      </c>
      <c r="L2" s="81"/>
      <c r="M2" s="81"/>
      <c r="N2" s="81"/>
      <c r="O2" s="81"/>
      <c r="P2" s="81" t="s">
        <v>7</v>
      </c>
      <c r="Q2" s="81"/>
    </row>
    <row r="3" spans="1:17" ht="12.75">
      <c r="A3" s="52"/>
      <c r="B3" s="80"/>
      <c r="C3" s="80"/>
      <c r="D3" s="80"/>
      <c r="E3" s="80" t="s">
        <v>6</v>
      </c>
      <c r="F3" s="80" t="s">
        <v>4</v>
      </c>
      <c r="G3" s="80"/>
      <c r="H3" s="80"/>
      <c r="I3" s="80" t="s">
        <v>213</v>
      </c>
      <c r="J3" s="81" t="s">
        <v>8</v>
      </c>
      <c r="K3" s="81" t="s">
        <v>11</v>
      </c>
      <c r="L3" s="81"/>
      <c r="M3" s="81"/>
      <c r="N3" s="81"/>
      <c r="O3" s="81"/>
      <c r="P3" s="81" t="s">
        <v>15</v>
      </c>
      <c r="Q3" s="81" t="s">
        <v>7</v>
      </c>
    </row>
    <row r="4" spans="1:17" ht="13.5" thickBot="1">
      <c r="A4" s="82" t="s">
        <v>0</v>
      </c>
      <c r="B4" s="83" t="s">
        <v>1</v>
      </c>
      <c r="C4" s="83" t="s">
        <v>2</v>
      </c>
      <c r="D4" s="83" t="s">
        <v>3</v>
      </c>
      <c r="E4" s="83" t="s">
        <v>5</v>
      </c>
      <c r="F4" s="83" t="s">
        <v>5</v>
      </c>
      <c r="G4" s="83" t="s">
        <v>210</v>
      </c>
      <c r="H4" s="83" t="s">
        <v>211</v>
      </c>
      <c r="I4" s="83" t="s">
        <v>214</v>
      </c>
      <c r="J4" s="84" t="s">
        <v>9</v>
      </c>
      <c r="K4" s="84" t="s">
        <v>12</v>
      </c>
      <c r="L4" s="84" t="s">
        <v>4</v>
      </c>
      <c r="M4" s="84" t="s">
        <v>13</v>
      </c>
      <c r="N4" s="84" t="s">
        <v>60</v>
      </c>
      <c r="O4" s="84" t="s">
        <v>14</v>
      </c>
      <c r="P4" s="84" t="s">
        <v>9</v>
      </c>
      <c r="Q4" s="84" t="s">
        <v>9</v>
      </c>
    </row>
    <row r="5" spans="1:17" ht="12.75">
      <c r="A5" s="52" t="s">
        <v>121</v>
      </c>
      <c r="B5" s="85" t="s">
        <v>201</v>
      </c>
      <c r="C5" s="80" t="s">
        <v>59</v>
      </c>
      <c r="D5" s="80">
        <v>3</v>
      </c>
      <c r="E5" s="95">
        <v>0.37</v>
      </c>
      <c r="F5" s="95">
        <v>0.45</v>
      </c>
      <c r="G5" s="86">
        <f>E5*('Machinery Cost'!E6+'Machinery Cost'!E11)</f>
        <v>1.8321577777777776</v>
      </c>
      <c r="H5" s="86">
        <f>E5*('Machinery Cost'!F6+'Machinery Cost'!F11)</f>
        <v>1.5098836666666668</v>
      </c>
      <c r="I5" s="86">
        <f>+E5*('Machinery Cost'!G6+'Machinery Cost'!H6+'Machinery Cost'!I6+'Machinery Cost'!G11+'Machinery Cost'!H11+'Machinery Cost'!I11)</f>
        <v>0.562955</v>
      </c>
      <c r="J5" s="86">
        <f>+G5+H5+I5</f>
        <v>3.9049964444444445</v>
      </c>
      <c r="K5" s="86">
        <f>+E5*('Machinery Cost'!L6+'Machinery Cost'!K6+'Machinery Cost'!K11+'Machinery Cost'!L11)</f>
        <v>6.302672499999999</v>
      </c>
      <c r="L5" s="86">
        <f>+F5*'Basic Input Costs'!C$46</f>
        <v>6.3</v>
      </c>
      <c r="M5" s="86">
        <v>0</v>
      </c>
      <c r="N5" s="86">
        <v>0</v>
      </c>
      <c r="O5" s="86">
        <f>(SUM(K5:N5))*(3/12)*'Basic Input Costs'!C$49</f>
        <v>0.24417677968749998</v>
      </c>
      <c r="P5" s="86">
        <f aca="true" t="shared" si="0" ref="P5:P18">SUM(K5:O5)</f>
        <v>12.846849279687499</v>
      </c>
      <c r="Q5" s="86">
        <f aca="true" t="shared" si="1" ref="Q5:Q23">+P5+J5</f>
        <v>16.751845724131943</v>
      </c>
    </row>
    <row r="6" spans="1:17" ht="12.75">
      <c r="A6" s="52" t="s">
        <v>122</v>
      </c>
      <c r="B6" s="85" t="s">
        <v>200</v>
      </c>
      <c r="C6" s="80" t="s">
        <v>59</v>
      </c>
      <c r="D6" s="80">
        <v>3</v>
      </c>
      <c r="E6" s="95">
        <v>0.15</v>
      </c>
      <c r="F6" s="95">
        <v>0.18</v>
      </c>
      <c r="G6" s="86">
        <f>+$E6*('Machinery Cost'!E6+'Machinery Cost'!E12)</f>
        <v>0.7253666666666666</v>
      </c>
      <c r="H6" s="86">
        <f>+$E6*('Machinery Cost'!F6+'Machinery Cost'!F12)</f>
        <v>0.618205</v>
      </c>
      <c r="I6" s="86">
        <f>+E6*('Machinery Cost'!G6+'Machinery Cost'!H6+'Machinery Cost'!I6+'Machinery Cost'!G12+'Machinery Cost'!H12+'Machinery Cost'!I12)</f>
        <v>0.228225</v>
      </c>
      <c r="J6" s="86">
        <f>+G6+H6+I6</f>
        <v>1.5717966666666667</v>
      </c>
      <c r="K6" s="86">
        <f>+E6*('Machinery Cost'!K6+'Machinery Cost'!L6+'Machinery Cost'!K12+'Machinery Cost'!L12)</f>
        <v>2.5551374999999994</v>
      </c>
      <c r="L6" s="86">
        <f>+F6*'Basic Input Costs'!C$46</f>
        <v>2.52</v>
      </c>
      <c r="M6" s="86">
        <v>0</v>
      </c>
      <c r="N6" s="86">
        <f>+'Year 3 IS'!E11</f>
        <v>5</v>
      </c>
      <c r="O6" s="86">
        <f>(SUM(K6:N6))*(3/12)*'Basic Input Costs'!C$49</f>
        <v>0.1952057890625</v>
      </c>
      <c r="P6" s="86">
        <f t="shared" si="0"/>
        <v>10.2703432890625</v>
      </c>
      <c r="Q6" s="86">
        <f t="shared" si="1"/>
        <v>11.842139955729166</v>
      </c>
    </row>
    <row r="7" spans="1:17" ht="12.75">
      <c r="A7" s="52" t="s">
        <v>215</v>
      </c>
      <c r="B7" s="85" t="s">
        <v>216</v>
      </c>
      <c r="C7" s="80" t="s">
        <v>59</v>
      </c>
      <c r="D7" s="80">
        <v>3</v>
      </c>
      <c r="E7" s="95">
        <v>0.69</v>
      </c>
      <c r="F7" s="95">
        <v>0.83</v>
      </c>
      <c r="G7" s="86">
        <f>+$E7*('Machinery Cost'!E6+'Machinery Cost'!E10)</f>
        <v>7.091666666666667</v>
      </c>
      <c r="H7" s="86">
        <f>+$E7*('Machinery Cost'!F6+'Machinery Cost'!F10)</f>
        <v>5.876500000000001</v>
      </c>
      <c r="I7" s="86">
        <f>+E7*('Machinery Cost'!G6+'Machinery Cost'!H6+'Machinery Cost'!I6+'Machinery Cost'!G10+'Machinery Cost'!H10+'Machinery Cost'!I10)</f>
        <v>2.161425</v>
      </c>
      <c r="J7" s="86">
        <f>+G7+H7+I7</f>
        <v>15.129591666666668</v>
      </c>
      <c r="K7" s="86">
        <f>+E7*('Machinery Cost'!K6+'Machinery Cost'!L6+'Machinery Cost'!K10+'Machinery Cost'!L10)</f>
        <v>15.187762499999996</v>
      </c>
      <c r="L7" s="86">
        <f>+F7*'Basic Input Costs'!C$46</f>
        <v>11.62</v>
      </c>
      <c r="M7" s="86">
        <v>0</v>
      </c>
      <c r="N7" s="86">
        <v>0</v>
      </c>
      <c r="O7" s="86">
        <f>(SUM(K7:N7))*(3/12)*'Basic Input Costs'!C$49</f>
        <v>0.5194003984374999</v>
      </c>
      <c r="P7" s="86">
        <f t="shared" si="0"/>
        <v>27.327162898437496</v>
      </c>
      <c r="Q7" s="86">
        <f t="shared" si="1"/>
        <v>42.45675456510416</v>
      </c>
    </row>
    <row r="8" spans="1:17" ht="12.75">
      <c r="A8" s="52" t="s">
        <v>52</v>
      </c>
      <c r="B8" s="85" t="s">
        <v>129</v>
      </c>
      <c r="C8" s="80" t="s">
        <v>74</v>
      </c>
      <c r="D8" s="80">
        <v>3</v>
      </c>
      <c r="E8" s="95">
        <v>0</v>
      </c>
      <c r="F8" s="95">
        <v>1.9</v>
      </c>
      <c r="G8" s="86">
        <f>+'Machinery Cost'!E18</f>
        <v>70.83333333333334</v>
      </c>
      <c r="H8" s="86">
        <f>+'Machinery Cost'!F18</f>
        <v>74.37500000000001</v>
      </c>
      <c r="I8" s="86">
        <f>+'Machinery Cost'!G18+'Machinery Cost'!H18+'Machinery Cost'!I18</f>
        <v>4.5600000000000005</v>
      </c>
      <c r="J8" s="86">
        <f>+G8+H8+I8</f>
        <v>149.76833333333337</v>
      </c>
      <c r="K8" s="86">
        <f>+'Machinery Cost'!K18+'Machinery Cost'!L18</f>
        <v>27.34</v>
      </c>
      <c r="L8" s="86">
        <f>+F8*'Basic Input Costs'!C$46</f>
        <v>26.599999999999998</v>
      </c>
      <c r="M8" s="86">
        <v>0</v>
      </c>
      <c r="N8" s="86">
        <f>+'Year 3 IS'!E20+'Year 3 IS'!E21</f>
        <v>110</v>
      </c>
      <c r="O8" s="86">
        <f>(SUM(K8:N8))*(6/12)*'Basic Input Costs'!C$49</f>
        <v>6.352675</v>
      </c>
      <c r="P8" s="86">
        <f t="shared" si="0"/>
        <v>170.292675</v>
      </c>
      <c r="Q8" s="86">
        <f t="shared" si="1"/>
        <v>320.06100833333335</v>
      </c>
    </row>
    <row r="9" spans="1:17" ht="12.75">
      <c r="A9" s="52" t="s">
        <v>124</v>
      </c>
      <c r="B9" s="85" t="s">
        <v>267</v>
      </c>
      <c r="C9" s="80" t="s">
        <v>74</v>
      </c>
      <c r="D9" s="80">
        <v>3</v>
      </c>
      <c r="E9" s="95">
        <v>0</v>
      </c>
      <c r="F9" s="95">
        <v>0</v>
      </c>
      <c r="G9" s="86"/>
      <c r="H9" s="86"/>
      <c r="I9" s="86"/>
      <c r="J9" s="86">
        <v>0</v>
      </c>
      <c r="K9" s="86">
        <v>0</v>
      </c>
      <c r="L9" s="86">
        <f>+'Year 3 IS'!E13</f>
        <v>660</v>
      </c>
      <c r="M9" s="86">
        <v>0</v>
      </c>
      <c r="N9" s="86">
        <v>0</v>
      </c>
      <c r="O9" s="86">
        <f>(SUM(K9:N9))*(2/12)*'Basic Input Costs'!C$49</f>
        <v>8.525</v>
      </c>
      <c r="P9" s="86">
        <f t="shared" si="0"/>
        <v>668.525</v>
      </c>
      <c r="Q9" s="86">
        <f t="shared" si="1"/>
        <v>668.525</v>
      </c>
    </row>
    <row r="10" spans="1:17" ht="12.75">
      <c r="A10" s="52" t="s">
        <v>125</v>
      </c>
      <c r="B10" s="85" t="s">
        <v>184</v>
      </c>
      <c r="C10" s="80" t="s">
        <v>74</v>
      </c>
      <c r="D10" s="80">
        <v>3</v>
      </c>
      <c r="E10" s="95">
        <v>0.44</v>
      </c>
      <c r="F10" s="95">
        <v>0.54</v>
      </c>
      <c r="G10" s="86">
        <f>+E10*('Machinery Cost'!E15+'Machinery Cost'!E13)</f>
        <v>5.6979999999999995</v>
      </c>
      <c r="H10" s="86">
        <f>+E10*('Machinery Cost'!F15+'Machinery Cost'!F13)</f>
        <v>2.9773333333333336</v>
      </c>
      <c r="I10" s="86">
        <f>E10*(+'Machinery Cost'!G15+'Machinery Cost'!H15+'Machinery Cost'!I15+'Machinery Cost'!G13+'Machinery Cost'!H13+'Machinery Cost'!I13)</f>
        <v>1.202402666666667</v>
      </c>
      <c r="J10" s="86">
        <f>+G10+H10+I10</f>
        <v>9.877735999999999</v>
      </c>
      <c r="K10" s="86">
        <f>+E10*('Machinery Cost'!K14+'Machinery Cost'!L14+'Machinery Cost'!K13+'Machinery Cost'!L13)</f>
        <v>7.470096615384616</v>
      </c>
      <c r="L10" s="86">
        <f>+'Year 3 IS'!E14</f>
        <v>30</v>
      </c>
      <c r="M10" s="86">
        <v>0</v>
      </c>
      <c r="N10" s="86">
        <v>0</v>
      </c>
      <c r="O10" s="86">
        <f>(SUM(K10:N10))*(2/12)*'Basic Input Costs'!C$49</f>
        <v>0.48398874794871793</v>
      </c>
      <c r="P10" s="86">
        <f>SUM(K10:O10)</f>
        <v>37.954085363333334</v>
      </c>
      <c r="Q10" s="86">
        <f>+P10+J10</f>
        <v>47.83182136333333</v>
      </c>
    </row>
    <row r="11" spans="1:17" ht="12.75">
      <c r="A11" s="52" t="s">
        <v>126</v>
      </c>
      <c r="B11" s="85" t="s">
        <v>130</v>
      </c>
      <c r="C11" s="80" t="s">
        <v>74</v>
      </c>
      <c r="D11" s="80">
        <v>3</v>
      </c>
      <c r="E11" s="95">
        <v>0</v>
      </c>
      <c r="F11" s="95">
        <v>2</v>
      </c>
      <c r="G11" s="86"/>
      <c r="H11" s="86"/>
      <c r="I11" s="86"/>
      <c r="J11" s="86">
        <v>0</v>
      </c>
      <c r="K11" s="86">
        <v>0</v>
      </c>
      <c r="L11" s="86">
        <f>+'Year 3 IS'!E15</f>
        <v>60</v>
      </c>
      <c r="M11" s="86">
        <v>0</v>
      </c>
      <c r="N11" s="86">
        <v>0</v>
      </c>
      <c r="O11" s="86">
        <f>(SUM(K11:N11))*(2/12)*'Basic Input Costs'!C$49</f>
        <v>0.775</v>
      </c>
      <c r="P11" s="86">
        <f>SUM(K11:O11)</f>
        <v>60.775</v>
      </c>
      <c r="Q11" s="86">
        <f>+P11+J11</f>
        <v>60.775</v>
      </c>
    </row>
    <row r="12" spans="1:17" ht="12.75">
      <c r="A12" s="52" t="s">
        <v>53</v>
      </c>
      <c r="B12" s="85" t="s">
        <v>200</v>
      </c>
      <c r="C12" s="80" t="s">
        <v>73</v>
      </c>
      <c r="D12" s="80">
        <v>3</v>
      </c>
      <c r="E12" s="95">
        <v>0.05</v>
      </c>
      <c r="F12" s="95">
        <v>0.06</v>
      </c>
      <c r="G12" s="86">
        <f>+$E12*('Machinery Cost'!E6+'Machinery Cost'!E12)</f>
        <v>0.2417888888888889</v>
      </c>
      <c r="H12" s="86">
        <f>+$E12*('Machinery Cost'!F6+'Machinery Cost'!F12)</f>
        <v>0.20606833333333335</v>
      </c>
      <c r="I12" s="86">
        <f>+E12*('Machinery Cost'!G6+'Machinery Cost'!H6+'Machinery Cost'!I6+'Machinery Cost'!G12+'Machinery Cost'!H12+'Machinery Cost'!I12)</f>
        <v>0.076075</v>
      </c>
      <c r="J12" s="86">
        <f>+G12+H12+I12</f>
        <v>0.5239322222222222</v>
      </c>
      <c r="K12" s="86">
        <f>+E12*('Machinery Cost'!K6+'Machinery Cost'!L6+'Machinery Cost'!K12+'Machinery Cost'!L12)</f>
        <v>0.8517124999999999</v>
      </c>
      <c r="L12" s="86">
        <v>0.6</v>
      </c>
      <c r="M12" s="86">
        <v>0</v>
      </c>
      <c r="N12" s="86">
        <f>+'Year 3 IS'!E12</f>
        <v>4.68</v>
      </c>
      <c r="O12" s="86">
        <f>(SUM(K12:N12))*(2/12)*'Basic Input Costs'!C$49</f>
        <v>0.07920128645833331</v>
      </c>
      <c r="P12" s="86">
        <f>SUM(K12:O12)</f>
        <v>6.210913786458332</v>
      </c>
      <c r="Q12" s="86">
        <f>+P12+J12</f>
        <v>6.734846008680554</v>
      </c>
    </row>
    <row r="13" spans="1:17" ht="12.75">
      <c r="A13" s="52" t="s">
        <v>127</v>
      </c>
      <c r="B13" s="85" t="s">
        <v>200</v>
      </c>
      <c r="C13" s="80" t="s">
        <v>76</v>
      </c>
      <c r="D13" s="80">
        <v>3</v>
      </c>
      <c r="E13" s="95">
        <v>0.15</v>
      </c>
      <c r="F13" s="95">
        <v>0.18</v>
      </c>
      <c r="G13" s="86">
        <f>+E13*('Machinery Cost'!E6+'Machinery Cost'!E12)</f>
        <v>0.7253666666666666</v>
      </c>
      <c r="H13" s="86">
        <f>+E13*('Machinery Cost'!F6+'Machinery Cost'!F12)</f>
        <v>0.618205</v>
      </c>
      <c r="I13" s="86">
        <f>+E13*('Machinery Cost'!G6+'Machinery Cost'!H6+'Machinery Cost'!I6+'Machinery Cost'!G12+'Machinery Cost'!H12+'Machinery Cost'!I12)</f>
        <v>0.228225</v>
      </c>
      <c r="J13" s="86">
        <f>+G13+H13+I13</f>
        <v>1.5717966666666667</v>
      </c>
      <c r="K13" s="86">
        <f>+E13*('Machinery Cost'!K6+'Machinery Cost'!L6+'Machinery Cost'!K12+'Machinery Cost'!L12)</f>
        <v>2.5551374999999994</v>
      </c>
      <c r="L13" s="86">
        <f>+F13*'Basic Input Costs'!C$46</f>
        <v>2.52</v>
      </c>
      <c r="M13" s="86">
        <v>0</v>
      </c>
      <c r="N13" s="86">
        <f>+'Year 3 IS'!E16+'Year 3 IS'!E17</f>
        <v>15.45</v>
      </c>
      <c r="O13" s="86">
        <v>0</v>
      </c>
      <c r="P13" s="86">
        <f t="shared" si="0"/>
        <v>20.5251375</v>
      </c>
      <c r="Q13" s="86">
        <f t="shared" si="1"/>
        <v>22.096934166666667</v>
      </c>
    </row>
    <row r="14" spans="1:17" ht="12.75">
      <c r="A14" s="52" t="s">
        <v>47</v>
      </c>
      <c r="B14" s="85" t="s">
        <v>62</v>
      </c>
      <c r="C14" s="80" t="s">
        <v>76</v>
      </c>
      <c r="D14" s="80">
        <v>3</v>
      </c>
      <c r="E14" s="102">
        <v>0</v>
      </c>
      <c r="F14" s="95">
        <v>0</v>
      </c>
      <c r="G14" s="86"/>
      <c r="H14" s="86"/>
      <c r="I14" s="86"/>
      <c r="J14" s="86">
        <v>0</v>
      </c>
      <c r="K14" s="86">
        <v>0</v>
      </c>
      <c r="L14" s="86">
        <f>+F14*'Basic Input Costs'!C$46</f>
        <v>0</v>
      </c>
      <c r="M14" s="86">
        <f>+'Year 3 IS'!E18</f>
        <v>7.5</v>
      </c>
      <c r="N14" s="86">
        <f>+'Year 3 IS'!E19</f>
        <v>68.39999999999999</v>
      </c>
      <c r="O14" s="86">
        <v>0</v>
      </c>
      <c r="P14" s="86">
        <f t="shared" si="0"/>
        <v>75.89999999999999</v>
      </c>
      <c r="Q14" s="86">
        <f t="shared" si="1"/>
        <v>75.89999999999999</v>
      </c>
    </row>
    <row r="15" spans="1:17" ht="12.75">
      <c r="A15" s="52" t="s">
        <v>120</v>
      </c>
      <c r="B15" s="85" t="s">
        <v>128</v>
      </c>
      <c r="C15" s="80" t="s">
        <v>131</v>
      </c>
      <c r="D15" s="80">
        <v>3</v>
      </c>
      <c r="E15" s="95">
        <v>0</v>
      </c>
      <c r="F15" s="95">
        <v>0</v>
      </c>
      <c r="G15" s="86"/>
      <c r="H15" s="86"/>
      <c r="I15" s="86"/>
      <c r="J15" s="86">
        <v>0</v>
      </c>
      <c r="K15" s="86">
        <v>0</v>
      </c>
      <c r="L15" s="86">
        <f>+F15*'Basic Input Costs'!C$46</f>
        <v>0</v>
      </c>
      <c r="M15" s="86">
        <f>+'Year 3 IS'!E8</f>
        <v>7.5</v>
      </c>
      <c r="N15" s="86">
        <f>+'Year 3 IS'!E10+'Year 3 IS'!E9</f>
        <v>27.906800000000004</v>
      </c>
      <c r="O15" s="86">
        <f>(SUM(K15:N15))*(11/12)*'Basic Input Costs'!C$49</f>
        <v>2.5153580833333335</v>
      </c>
      <c r="P15" s="86">
        <f>SUM(K15:O15)</f>
        <v>37.922158083333336</v>
      </c>
      <c r="Q15" s="86">
        <f>+P15+J15</f>
        <v>37.922158083333336</v>
      </c>
    </row>
    <row r="16" spans="1:17" ht="12.75">
      <c r="A16" s="52" t="s">
        <v>55</v>
      </c>
      <c r="B16" s="88" t="s">
        <v>68</v>
      </c>
      <c r="C16" s="80" t="s">
        <v>77</v>
      </c>
      <c r="D16" s="80">
        <v>3</v>
      </c>
      <c r="E16" s="95">
        <v>0</v>
      </c>
      <c r="F16" s="95">
        <v>0</v>
      </c>
      <c r="G16" s="86"/>
      <c r="H16" s="86"/>
      <c r="I16" s="86"/>
      <c r="J16" s="86">
        <f>+'Basic Input Costs'!C48*'Year 6-15 IS '!E5</f>
        <v>234.5</v>
      </c>
      <c r="K16" s="86">
        <f>+E16*('Machinery Cost'!K15+'Machinery Cost'!L15)</f>
        <v>0</v>
      </c>
      <c r="L16" s="86">
        <f>+F16*'Basic Input Costs'!C$46</f>
        <v>0</v>
      </c>
      <c r="M16" s="86">
        <v>0</v>
      </c>
      <c r="N16" s="86">
        <v>0</v>
      </c>
      <c r="O16" s="86">
        <v>0</v>
      </c>
      <c r="P16" s="86">
        <f t="shared" si="0"/>
        <v>0</v>
      </c>
      <c r="Q16" s="86">
        <f t="shared" si="1"/>
        <v>234.5</v>
      </c>
    </row>
    <row r="17" spans="1:17" ht="12.75">
      <c r="A17" s="52" t="s">
        <v>31</v>
      </c>
      <c r="B17" s="85" t="s">
        <v>69</v>
      </c>
      <c r="C17" s="80" t="s">
        <v>77</v>
      </c>
      <c r="D17" s="80">
        <v>3</v>
      </c>
      <c r="E17" s="95">
        <v>1.8</v>
      </c>
      <c r="F17" s="95">
        <v>0</v>
      </c>
      <c r="G17" s="86">
        <f>+E17*'Machinery Cost'!E15</f>
        <v>15.75</v>
      </c>
      <c r="H17" s="86">
        <f>+E17*'Machinery Cost'!F15</f>
        <v>6.51</v>
      </c>
      <c r="I17" s="86">
        <f>+E17*('Machinery Cost'!G15+'Machinery Cost'!H15+'Machinery Cost'!I15)</f>
        <v>2.7924</v>
      </c>
      <c r="J17" s="86">
        <f>+G17+H17+I17</f>
        <v>25.0524</v>
      </c>
      <c r="K17" s="86">
        <f>+E17*('Machinery Cost'!K15+'Machinery Cost'!L15)</f>
        <v>27.256800000000002</v>
      </c>
      <c r="L17" s="86">
        <f>+F17*'Basic Input Costs'!C$46</f>
        <v>0</v>
      </c>
      <c r="M17" s="86">
        <v>0</v>
      </c>
      <c r="N17" s="86">
        <v>0</v>
      </c>
      <c r="O17" s="86">
        <f>(SUM(K17:N17))*(6/12)*'Basic Input Costs'!C$49</f>
        <v>1.0562010000000002</v>
      </c>
      <c r="P17" s="86">
        <f t="shared" si="0"/>
        <v>28.313001000000003</v>
      </c>
      <c r="Q17" s="86">
        <f t="shared" si="1"/>
        <v>53.365401000000006</v>
      </c>
    </row>
    <row r="18" spans="1:17" ht="12.75">
      <c r="A18" s="52" t="s">
        <v>56</v>
      </c>
      <c r="B18" s="85" t="s">
        <v>69</v>
      </c>
      <c r="C18" s="80" t="s">
        <v>77</v>
      </c>
      <c r="D18" s="80">
        <v>3</v>
      </c>
      <c r="E18" s="95">
        <v>3</v>
      </c>
      <c r="F18" s="95">
        <v>0</v>
      </c>
      <c r="G18" s="86">
        <f>+E18*'Machinery Cost'!E14</f>
        <v>23.076923076923077</v>
      </c>
      <c r="H18" s="86">
        <f>+E18*'Machinery Cost'!F14</f>
        <v>8.076923076923077</v>
      </c>
      <c r="I18" s="86">
        <f>+E18*('Machinery Cost'!G14+'Machinery Cost'!H14+'Machinery Cost'!I14)</f>
        <v>2.5200000000000005</v>
      </c>
      <c r="J18" s="86">
        <f>+G18+H18+I18</f>
        <v>33.673846153846156</v>
      </c>
      <c r="K18" s="86">
        <f>+E18*('Machinery Cost'!K14+'Machinery Cost'!L14)</f>
        <v>39.98307692307692</v>
      </c>
      <c r="L18" s="86">
        <f>+F18*'Basic Input Costs'!C$46</f>
        <v>0</v>
      </c>
      <c r="M18" s="86">
        <v>0</v>
      </c>
      <c r="N18" s="86">
        <v>0</v>
      </c>
      <c r="O18" s="86">
        <f>(SUM(K18:N18))*(6/12)*'Basic Input Costs'!C$49</f>
        <v>1.5493442307692307</v>
      </c>
      <c r="P18" s="86">
        <f t="shared" si="0"/>
        <v>41.53242115384615</v>
      </c>
      <c r="Q18" s="86">
        <f t="shared" si="1"/>
        <v>75.20626730769231</v>
      </c>
    </row>
    <row r="19" spans="1:17" ht="12.75">
      <c r="A19" s="52" t="s">
        <v>14</v>
      </c>
      <c r="B19" s="85" t="s">
        <v>140</v>
      </c>
      <c r="C19" s="80" t="s">
        <v>77</v>
      </c>
      <c r="D19" s="80">
        <v>3</v>
      </c>
      <c r="E19" s="95">
        <v>0</v>
      </c>
      <c r="F19" s="95">
        <v>0</v>
      </c>
      <c r="G19" s="86"/>
      <c r="H19" s="86"/>
      <c r="I19" s="86"/>
      <c r="J19" s="86">
        <f>+'Basic Input Costs'!F57*-1</f>
        <v>249.2885749382399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f t="shared" si="1"/>
        <v>249.2885749382399</v>
      </c>
    </row>
    <row r="20" spans="1:17" ht="12.75">
      <c r="A20" s="52" t="s">
        <v>57</v>
      </c>
      <c r="B20" s="85" t="s">
        <v>237</v>
      </c>
      <c r="C20" s="80" t="s">
        <v>77</v>
      </c>
      <c r="D20" s="80">
        <v>3</v>
      </c>
      <c r="E20" s="95">
        <v>0</v>
      </c>
      <c r="F20" s="95">
        <v>0</v>
      </c>
      <c r="G20" s="86"/>
      <c r="H20" s="86"/>
      <c r="I20" s="86"/>
      <c r="J20" s="86">
        <f>+'Year 3 IS'!C35</f>
        <v>566.6666666666666</v>
      </c>
      <c r="K20" s="86">
        <v>0</v>
      </c>
      <c r="L20" s="86">
        <f>+F20*'Basic Input Costs'!C$46</f>
        <v>0</v>
      </c>
      <c r="M20" s="86">
        <v>0</v>
      </c>
      <c r="N20" s="86">
        <v>0</v>
      </c>
      <c r="O20" s="86">
        <f>(SUM(K20:N20))*(6/12)*'Basic Input Costs'!C$49</f>
        <v>0</v>
      </c>
      <c r="P20" s="86">
        <f>SUM(K20:O20)</f>
        <v>0</v>
      </c>
      <c r="Q20" s="86">
        <f t="shared" si="1"/>
        <v>566.6666666666666</v>
      </c>
    </row>
    <row r="21" spans="1:17" ht="12.75">
      <c r="A21" s="52" t="s">
        <v>40</v>
      </c>
      <c r="B21" s="85" t="s">
        <v>70</v>
      </c>
      <c r="C21" s="80" t="s">
        <v>77</v>
      </c>
      <c r="D21" s="80">
        <v>3</v>
      </c>
      <c r="E21" s="95">
        <v>0</v>
      </c>
      <c r="F21" s="95">
        <v>0</v>
      </c>
      <c r="G21" s="86"/>
      <c r="H21" s="86"/>
      <c r="I21" s="86"/>
      <c r="J21" s="86">
        <f>+'Basic Input Costs'!C44</f>
        <v>134.6</v>
      </c>
      <c r="K21" s="86">
        <v>0</v>
      </c>
      <c r="L21" s="86">
        <f>+F21*'Basic Input Costs'!C$46</f>
        <v>0</v>
      </c>
      <c r="M21" s="86">
        <v>0</v>
      </c>
      <c r="N21" s="86">
        <v>0</v>
      </c>
      <c r="O21" s="86">
        <f>(SUM(K21:N21))*(6/12)*'Basic Input Costs'!C$49</f>
        <v>0</v>
      </c>
      <c r="P21" s="86">
        <f>SUM(K21:O21)</f>
        <v>0</v>
      </c>
      <c r="Q21" s="86">
        <f t="shared" si="1"/>
        <v>134.6</v>
      </c>
    </row>
    <row r="22" spans="1:17" ht="12.75">
      <c r="A22" s="52" t="s">
        <v>40</v>
      </c>
      <c r="B22" s="85" t="s">
        <v>189</v>
      </c>
      <c r="C22" s="80" t="s">
        <v>77</v>
      </c>
      <c r="D22" s="80">
        <v>3</v>
      </c>
      <c r="E22" s="95">
        <v>0</v>
      </c>
      <c r="F22" s="95">
        <v>0</v>
      </c>
      <c r="G22" s="106"/>
      <c r="H22" s="106"/>
      <c r="I22" s="106"/>
      <c r="J22" s="86">
        <f>+L24*'Basic Input Costs'!C47</f>
        <v>136.0272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f t="shared" si="1"/>
        <v>136.0272</v>
      </c>
    </row>
    <row r="23" spans="1:17" s="15" customFormat="1" ht="15.75" customHeight="1" thickBot="1">
      <c r="A23" s="79" t="s">
        <v>58</v>
      </c>
      <c r="B23" s="89" t="s">
        <v>71</v>
      </c>
      <c r="C23" s="90" t="s">
        <v>77</v>
      </c>
      <c r="D23" s="80">
        <v>3</v>
      </c>
      <c r="E23" s="97">
        <v>0</v>
      </c>
      <c r="F23" s="97">
        <v>0</v>
      </c>
      <c r="G23" s="91"/>
      <c r="H23" s="91"/>
      <c r="I23" s="91"/>
      <c r="J23" s="91">
        <v>0</v>
      </c>
      <c r="K23" s="91">
        <v>0</v>
      </c>
      <c r="L23" s="91">
        <f>+F23*'Basic Input Costs'!C$46</f>
        <v>0</v>
      </c>
      <c r="M23" s="91">
        <v>0</v>
      </c>
      <c r="N23" s="91">
        <f>+'Year 3 IS'!E25</f>
        <v>60</v>
      </c>
      <c r="O23" s="91">
        <f>(SUM(K23:N23))*(6/12)*'Basic Input Costs'!C$49</f>
        <v>2.325</v>
      </c>
      <c r="P23" s="91">
        <f>SUM(K23:O23)</f>
        <v>62.325</v>
      </c>
      <c r="Q23" s="91">
        <f t="shared" si="1"/>
        <v>62.325</v>
      </c>
    </row>
    <row r="24" spans="1:17" ht="18" customHeight="1" thickBot="1">
      <c r="A24" s="92" t="s">
        <v>72</v>
      </c>
      <c r="B24" s="93" t="s">
        <v>72</v>
      </c>
      <c r="C24" s="92"/>
      <c r="D24" s="92"/>
      <c r="E24" s="94">
        <f aca="true" t="shared" si="2" ref="E24:Q24">SUM(E5:E23)</f>
        <v>6.65</v>
      </c>
      <c r="F24" s="94">
        <f t="shared" si="2"/>
        <v>6.14</v>
      </c>
      <c r="G24" s="94">
        <f>SUM(G5:G23)</f>
        <v>125.97460307692309</v>
      </c>
      <c r="H24" s="94">
        <f>SUM(H5:H23)</f>
        <v>100.76811841025643</v>
      </c>
      <c r="I24" s="94">
        <f>SUM(I5:I23)</f>
        <v>14.33170766666667</v>
      </c>
      <c r="J24" s="94">
        <f t="shared" si="2"/>
        <v>1562.1568707587526</v>
      </c>
      <c r="K24" s="94">
        <f t="shared" si="2"/>
        <v>129.50239603846154</v>
      </c>
      <c r="L24" s="94">
        <f t="shared" si="2"/>
        <v>800.16</v>
      </c>
      <c r="M24" s="94">
        <f t="shared" si="2"/>
        <v>15</v>
      </c>
      <c r="N24" s="94">
        <f t="shared" si="2"/>
        <v>291.43679999999995</v>
      </c>
      <c r="O24" s="94">
        <f t="shared" si="2"/>
        <v>24.62055131569711</v>
      </c>
      <c r="P24" s="94">
        <f t="shared" si="2"/>
        <v>1260.719747354159</v>
      </c>
      <c r="Q24" s="94">
        <f t="shared" si="2"/>
        <v>2822.8766181129113</v>
      </c>
    </row>
    <row r="25" spans="5:9" ht="12.75">
      <c r="E25" s="10"/>
      <c r="F25" s="10"/>
      <c r="G25" s="10"/>
      <c r="H25" s="10"/>
      <c r="I25" s="10"/>
    </row>
    <row r="26" spans="5:9" ht="12.75">
      <c r="E26" s="10"/>
      <c r="F26" s="10"/>
      <c r="G26" s="10"/>
      <c r="H26" s="10"/>
      <c r="I26" s="10"/>
    </row>
  </sheetData>
  <sheetProtection/>
  <mergeCells count="1">
    <mergeCell ref="A1:Q1"/>
  </mergeCells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Footer>&amp;L&amp;Z&amp;F&amp;R&amp;D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3.421875" style="0" bestFit="1" customWidth="1"/>
    <col min="2" max="2" width="9.140625" style="1" customWidth="1"/>
    <col min="3" max="3" width="9.8515625" style="0" customWidth="1"/>
    <col min="4" max="4" width="10.57421875" style="0" customWidth="1"/>
    <col min="5" max="5" width="10.421875" style="0" customWidth="1"/>
  </cols>
  <sheetData>
    <row r="1" spans="1:5" s="15" customFormat="1" ht="18" customHeight="1" thickBot="1">
      <c r="A1" s="125" t="s">
        <v>300</v>
      </c>
      <c r="B1" s="125"/>
      <c r="C1" s="125"/>
      <c r="D1" s="125"/>
      <c r="E1" s="125"/>
    </row>
    <row r="2" spans="1:5" ht="12.75">
      <c r="A2" s="52"/>
      <c r="B2" s="80"/>
      <c r="C2" s="80" t="s">
        <v>82</v>
      </c>
      <c r="D2" s="80"/>
      <c r="E2" s="80" t="s">
        <v>85</v>
      </c>
    </row>
    <row r="3" spans="1:5" ht="13.5" thickBot="1">
      <c r="A3" s="82"/>
      <c r="B3" s="83" t="s">
        <v>81</v>
      </c>
      <c r="C3" s="83" t="s">
        <v>83</v>
      </c>
      <c r="D3" s="83" t="s">
        <v>84</v>
      </c>
      <c r="E3" s="83" t="s">
        <v>9</v>
      </c>
    </row>
    <row r="4" spans="1:5" ht="12.75">
      <c r="A4" s="98" t="s">
        <v>141</v>
      </c>
      <c r="B4" s="99"/>
      <c r="C4" s="99"/>
      <c r="D4" s="99"/>
      <c r="E4" s="99"/>
    </row>
    <row r="5" spans="1:5" ht="12.75">
      <c r="A5" s="98" t="s">
        <v>142</v>
      </c>
      <c r="B5" s="99" t="s">
        <v>105</v>
      </c>
      <c r="C5" s="100">
        <f>+'Basic Input Costs'!E5</f>
        <v>0.67</v>
      </c>
      <c r="D5" s="101">
        <f>+'Basic Input Costs'!E6</f>
        <v>3000</v>
      </c>
      <c r="E5" s="101">
        <f>+D5*C5</f>
        <v>2010.0000000000002</v>
      </c>
    </row>
    <row r="6" spans="1:5" ht="12.75">
      <c r="A6" s="98"/>
      <c r="B6" s="99"/>
      <c r="C6" s="99"/>
      <c r="D6" s="99"/>
      <c r="E6" s="99"/>
    </row>
    <row r="7" spans="1:5" ht="12.75">
      <c r="A7" s="52" t="s">
        <v>80</v>
      </c>
      <c r="B7" s="80"/>
      <c r="C7" s="52"/>
      <c r="D7" s="52"/>
      <c r="E7" s="52"/>
    </row>
    <row r="8" spans="1:5" ht="12.75">
      <c r="A8" s="52" t="s">
        <v>92</v>
      </c>
      <c r="B8" s="80" t="s">
        <v>103</v>
      </c>
      <c r="C8" s="86">
        <f>+'Basic Input Costs'!C34</f>
        <v>7.5</v>
      </c>
      <c r="D8" s="95">
        <v>1</v>
      </c>
      <c r="E8" s="86">
        <f aca="true" t="shared" si="0" ref="E8:E25">+D8*C8</f>
        <v>7.5</v>
      </c>
    </row>
    <row r="9" spans="1:5" ht="12.75">
      <c r="A9" s="52" t="s">
        <v>93</v>
      </c>
      <c r="B9" s="80" t="s">
        <v>106</v>
      </c>
      <c r="C9" s="86">
        <f>+'Basic Input Costs'!C16</f>
        <v>147.36</v>
      </c>
      <c r="D9" s="95">
        <v>0.13</v>
      </c>
      <c r="E9" s="86">
        <f t="shared" si="0"/>
        <v>19.156800000000004</v>
      </c>
    </row>
    <row r="10" spans="1:5" ht="12.75">
      <c r="A10" s="52" t="s">
        <v>94</v>
      </c>
      <c r="B10" s="80" t="s">
        <v>106</v>
      </c>
      <c r="C10" s="86">
        <f>+'Basic Input Costs'!C17</f>
        <v>35</v>
      </c>
      <c r="D10" s="95">
        <v>0.25</v>
      </c>
      <c r="E10" s="86">
        <f t="shared" si="0"/>
        <v>8.75</v>
      </c>
    </row>
    <row r="11" spans="1:5" ht="12.75">
      <c r="A11" s="52" t="s">
        <v>132</v>
      </c>
      <c r="B11" s="80" t="s">
        <v>106</v>
      </c>
      <c r="C11" s="86">
        <f>+'Basic Input Costs'!C18</f>
        <v>20</v>
      </c>
      <c r="D11" s="95">
        <v>0.25</v>
      </c>
      <c r="E11" s="86">
        <f t="shared" si="0"/>
        <v>5</v>
      </c>
    </row>
    <row r="12" spans="1:5" ht="12.75">
      <c r="A12" s="52" t="s">
        <v>191</v>
      </c>
      <c r="B12" s="80" t="s">
        <v>106</v>
      </c>
      <c r="C12" s="86">
        <f>+'Basic Input Costs'!C13</f>
        <v>36</v>
      </c>
      <c r="D12" s="95">
        <v>0.13</v>
      </c>
      <c r="E12" s="86">
        <f t="shared" si="0"/>
        <v>4.68</v>
      </c>
    </row>
    <row r="13" spans="1:5" ht="12.75">
      <c r="A13" s="52" t="s">
        <v>186</v>
      </c>
      <c r="B13" s="80" t="s">
        <v>105</v>
      </c>
      <c r="C13" s="86">
        <f>+'Basic Input Costs'!C25</f>
        <v>0.22</v>
      </c>
      <c r="D13" s="108">
        <f>+D5</f>
        <v>3000</v>
      </c>
      <c r="E13" s="86">
        <f t="shared" si="0"/>
        <v>660</v>
      </c>
    </row>
    <row r="14" spans="1:5" ht="12.75">
      <c r="A14" s="52" t="s">
        <v>187</v>
      </c>
      <c r="B14" s="80" t="s">
        <v>105</v>
      </c>
      <c r="C14" s="86">
        <f>+'Basic Input Costs'!C26</f>
        <v>0.01</v>
      </c>
      <c r="D14" s="108">
        <f>+D5</f>
        <v>3000</v>
      </c>
      <c r="E14" s="86">
        <f t="shared" si="0"/>
        <v>30</v>
      </c>
    </row>
    <row r="15" spans="1:5" ht="12.75">
      <c r="A15" s="52" t="s">
        <v>188</v>
      </c>
      <c r="B15" s="80" t="s">
        <v>105</v>
      </c>
      <c r="C15" s="86">
        <f>+'Basic Input Costs'!C27</f>
        <v>0.02</v>
      </c>
      <c r="D15" s="108">
        <f>+D5</f>
        <v>3000</v>
      </c>
      <c r="E15" s="86">
        <f t="shared" si="0"/>
        <v>60</v>
      </c>
    </row>
    <row r="16" spans="1:5" ht="12.75">
      <c r="A16" s="52" t="s">
        <v>133</v>
      </c>
      <c r="B16" s="80" t="s">
        <v>105</v>
      </c>
      <c r="C16" s="86">
        <f>+'Basic Input Costs'!C19</f>
        <v>6.05</v>
      </c>
      <c r="D16" s="95">
        <v>1.2</v>
      </c>
      <c r="E16" s="86">
        <f t="shared" si="0"/>
        <v>7.26</v>
      </c>
    </row>
    <row r="17" spans="1:5" ht="12.75">
      <c r="A17" s="52" t="s">
        <v>134</v>
      </c>
      <c r="B17" s="80" t="s">
        <v>105</v>
      </c>
      <c r="C17" s="86">
        <f>+'Basic Input Costs'!C20</f>
        <v>13</v>
      </c>
      <c r="D17" s="95">
        <v>0.63</v>
      </c>
      <c r="E17" s="86">
        <f t="shared" si="0"/>
        <v>8.19</v>
      </c>
    </row>
    <row r="18" spans="1:5" ht="12.75">
      <c r="A18" s="52" t="s">
        <v>135</v>
      </c>
      <c r="B18" s="80" t="s">
        <v>103</v>
      </c>
      <c r="C18" s="86">
        <f>+'Basic Input Costs'!C33</f>
        <v>7.5</v>
      </c>
      <c r="D18" s="95">
        <v>1</v>
      </c>
      <c r="E18" s="86">
        <f t="shared" si="0"/>
        <v>7.5</v>
      </c>
    </row>
    <row r="19" spans="1:5" ht="12.75">
      <c r="A19" s="52" t="s">
        <v>89</v>
      </c>
      <c r="B19" s="80" t="s">
        <v>105</v>
      </c>
      <c r="C19" s="86">
        <f>+'Basic Input Costs'!C10</f>
        <v>0.57</v>
      </c>
      <c r="D19" s="95">
        <v>120</v>
      </c>
      <c r="E19" s="86">
        <f t="shared" si="0"/>
        <v>68.39999999999999</v>
      </c>
    </row>
    <row r="20" spans="1:5" ht="12.75">
      <c r="A20" s="52" t="s">
        <v>190</v>
      </c>
      <c r="B20" s="80" t="s">
        <v>103</v>
      </c>
      <c r="C20" s="86">
        <f>+'Basic Input Costs'!C38</f>
        <v>60</v>
      </c>
      <c r="D20" s="95">
        <v>1</v>
      </c>
      <c r="E20" s="86">
        <f t="shared" si="0"/>
        <v>60</v>
      </c>
    </row>
    <row r="21" spans="1:5" ht="12.75">
      <c r="A21" s="52" t="s">
        <v>96</v>
      </c>
      <c r="B21" s="80" t="s">
        <v>103</v>
      </c>
      <c r="C21" s="86">
        <f>+'Basic Input Costs'!C39</f>
        <v>50</v>
      </c>
      <c r="D21" s="95">
        <v>1</v>
      </c>
      <c r="E21" s="86">
        <f t="shared" si="0"/>
        <v>50</v>
      </c>
    </row>
    <row r="22" spans="1:5" ht="12.75">
      <c r="A22" s="52" t="s">
        <v>206</v>
      </c>
      <c r="B22" s="80" t="s">
        <v>103</v>
      </c>
      <c r="C22" s="86">
        <f>+'Year 3 SOP'!K24</f>
        <v>129.50239603846154</v>
      </c>
      <c r="D22" s="95">
        <v>1</v>
      </c>
      <c r="E22" s="86">
        <f t="shared" si="0"/>
        <v>129.50239603846154</v>
      </c>
    </row>
    <row r="23" spans="1:6" ht="12.75">
      <c r="A23" s="52" t="s">
        <v>137</v>
      </c>
      <c r="B23" s="80" t="s">
        <v>103</v>
      </c>
      <c r="C23" s="86">
        <f>+'Year 3 SOP'!L24-'Year 3 SOP'!L11-'Year 3 SOP'!L10-'Year 3 SOP'!L9</f>
        <v>50.15999999999997</v>
      </c>
      <c r="D23" s="95">
        <v>1</v>
      </c>
      <c r="E23" s="86">
        <f t="shared" si="0"/>
        <v>50.15999999999997</v>
      </c>
      <c r="F23" s="10"/>
    </row>
    <row r="24" spans="1:5" ht="12.75">
      <c r="A24" s="52" t="s">
        <v>97</v>
      </c>
      <c r="B24" s="80" t="s">
        <v>103</v>
      </c>
      <c r="C24" s="86">
        <f>+'Year 3 SOP'!O24</f>
        <v>24.62055131569711</v>
      </c>
      <c r="D24" s="95">
        <v>1</v>
      </c>
      <c r="E24" s="86">
        <f t="shared" si="0"/>
        <v>24.62055131569711</v>
      </c>
    </row>
    <row r="25" spans="1:5" ht="12.75">
      <c r="A25" s="52" t="s">
        <v>58</v>
      </c>
      <c r="B25" s="80" t="s">
        <v>103</v>
      </c>
      <c r="C25" s="86">
        <f>+'Basic Input Costs'!C42</f>
        <v>60</v>
      </c>
      <c r="D25" s="95">
        <v>1</v>
      </c>
      <c r="E25" s="86">
        <f t="shared" si="0"/>
        <v>60</v>
      </c>
    </row>
    <row r="26" spans="1:5" ht="12.75">
      <c r="A26" s="52"/>
      <c r="B26" s="80"/>
      <c r="C26" s="86"/>
      <c r="D26" s="86"/>
      <c r="E26" s="86"/>
    </row>
    <row r="27" spans="1:5" ht="12.75">
      <c r="A27" s="52" t="s">
        <v>98</v>
      </c>
      <c r="B27" s="80"/>
      <c r="C27" s="86"/>
      <c r="D27" s="86"/>
      <c r="E27" s="86">
        <f>SUM(E8:E25)</f>
        <v>1260.719747354159</v>
      </c>
    </row>
    <row r="28" spans="1:5" ht="12.75">
      <c r="A28" s="52"/>
      <c r="B28" s="80"/>
      <c r="C28" s="86"/>
      <c r="D28" s="86"/>
      <c r="E28" s="86"/>
    </row>
    <row r="29" spans="1:5" ht="12.75">
      <c r="A29" s="52" t="s">
        <v>99</v>
      </c>
      <c r="B29" s="80"/>
      <c r="C29" s="86"/>
      <c r="D29" s="86"/>
      <c r="E29" s="86"/>
    </row>
    <row r="30" spans="1:5" ht="12.75">
      <c r="A30" s="52" t="s">
        <v>100</v>
      </c>
      <c r="B30" s="80" t="s">
        <v>103</v>
      </c>
      <c r="C30" s="86">
        <f>+'Year 3 SOP'!G24</f>
        <v>125.97460307692309</v>
      </c>
      <c r="D30" s="95">
        <v>1</v>
      </c>
      <c r="E30" s="86">
        <f aca="true" t="shared" si="1" ref="E30:E37">+D30*C30</f>
        <v>125.97460307692309</v>
      </c>
    </row>
    <row r="31" spans="1:5" ht="12.75">
      <c r="A31" s="52" t="s">
        <v>101</v>
      </c>
      <c r="B31" s="80" t="s">
        <v>103</v>
      </c>
      <c r="C31" s="86">
        <f>+'Year 3 SOP'!H24</f>
        <v>100.76811841025643</v>
      </c>
      <c r="D31" s="95">
        <v>1</v>
      </c>
      <c r="E31" s="86">
        <f t="shared" si="1"/>
        <v>100.76811841025643</v>
      </c>
    </row>
    <row r="32" spans="1:5" ht="12.75">
      <c r="A32" s="52" t="s">
        <v>102</v>
      </c>
      <c r="B32" s="80" t="s">
        <v>103</v>
      </c>
      <c r="C32" s="86">
        <f>+'Year 3 SOP'!I24</f>
        <v>14.33170766666667</v>
      </c>
      <c r="D32" s="95">
        <v>1</v>
      </c>
      <c r="E32" s="86">
        <f t="shared" si="1"/>
        <v>14.33170766666667</v>
      </c>
    </row>
    <row r="33" spans="1:5" ht="12.75">
      <c r="A33" s="52" t="s">
        <v>107</v>
      </c>
      <c r="B33" s="80" t="s">
        <v>103</v>
      </c>
      <c r="C33" s="86">
        <f>+'Basic Input Costs'!C44</f>
        <v>134.6</v>
      </c>
      <c r="D33" s="95">
        <v>1</v>
      </c>
      <c r="E33" s="86">
        <f t="shared" si="1"/>
        <v>134.6</v>
      </c>
    </row>
    <row r="34" spans="1:5" ht="12.75">
      <c r="A34" s="52" t="s">
        <v>189</v>
      </c>
      <c r="B34" s="80" t="s">
        <v>103</v>
      </c>
      <c r="C34" s="86">
        <f>+'Year 3 SOP'!J22</f>
        <v>136.0272</v>
      </c>
      <c r="D34" s="95">
        <v>1</v>
      </c>
      <c r="E34" s="86">
        <f>+D34*C34</f>
        <v>136.0272</v>
      </c>
    </row>
    <row r="35" spans="1:5" ht="12.75">
      <c r="A35" s="85" t="s">
        <v>237</v>
      </c>
      <c r="B35" s="80" t="s">
        <v>103</v>
      </c>
      <c r="C35" s="86">
        <f>+'Basic Input Costs'!C43</f>
        <v>566.6666666666666</v>
      </c>
      <c r="D35" s="95">
        <v>1</v>
      </c>
      <c r="E35" s="86">
        <f t="shared" si="1"/>
        <v>566.6666666666666</v>
      </c>
    </row>
    <row r="36" spans="1:5" ht="12.75">
      <c r="A36" s="52" t="s">
        <v>55</v>
      </c>
      <c r="B36" s="80" t="s">
        <v>103</v>
      </c>
      <c r="C36" s="86">
        <f>+'Year 3 SOP'!J16</f>
        <v>234.5</v>
      </c>
      <c r="D36" s="95">
        <v>1</v>
      </c>
      <c r="E36" s="86">
        <f t="shared" si="1"/>
        <v>234.5</v>
      </c>
    </row>
    <row r="37" spans="1:5" ht="12.75">
      <c r="A37" s="52" t="s">
        <v>139</v>
      </c>
      <c r="B37" s="80" t="s">
        <v>103</v>
      </c>
      <c r="C37" s="86">
        <f>+'Year 3 SOP'!J19</f>
        <v>249.2885749382399</v>
      </c>
      <c r="D37" s="95">
        <v>1</v>
      </c>
      <c r="E37" s="86">
        <f t="shared" si="1"/>
        <v>249.2885749382399</v>
      </c>
    </row>
    <row r="38" spans="1:5" ht="12.75">
      <c r="A38" s="52"/>
      <c r="B38" s="80"/>
      <c r="C38" s="86"/>
      <c r="D38" s="86"/>
      <c r="E38" s="86"/>
    </row>
    <row r="39" spans="1:5" ht="12.75">
      <c r="A39" s="52" t="s">
        <v>109</v>
      </c>
      <c r="B39" s="80"/>
      <c r="C39" s="86"/>
      <c r="D39" s="86"/>
      <c r="E39" s="86">
        <f>SUM(E30:E37)</f>
        <v>1562.1568707587526</v>
      </c>
    </row>
    <row r="40" spans="1:5" ht="12.75">
      <c r="A40" s="52"/>
      <c r="B40" s="80"/>
      <c r="C40" s="86"/>
      <c r="D40" s="86"/>
      <c r="E40" s="86"/>
    </row>
    <row r="41" spans="1:5" ht="12.75">
      <c r="A41" s="103" t="s">
        <v>108</v>
      </c>
      <c r="B41" s="80"/>
      <c r="C41" s="86"/>
      <c r="D41" s="86"/>
      <c r="E41" s="86">
        <f>+E39+E27</f>
        <v>2822.8766181129113</v>
      </c>
    </row>
    <row r="42" spans="1:5" ht="12.75">
      <c r="A42" s="103"/>
      <c r="B42" s="80"/>
      <c r="C42" s="86"/>
      <c r="D42" s="86"/>
      <c r="E42" s="86"/>
    </row>
    <row r="43" spans="1:5" ht="13.5" thickBot="1">
      <c r="A43" s="79" t="s">
        <v>144</v>
      </c>
      <c r="B43" s="90"/>
      <c r="C43" s="91"/>
      <c r="D43" s="91"/>
      <c r="E43" s="91">
        <f>+E5-E41</f>
        <v>-812.876618112911</v>
      </c>
    </row>
    <row r="46" s="15" customFormat="1" ht="18" customHeight="1"/>
  </sheetData>
  <sheetProtection/>
  <mergeCells count="1">
    <mergeCell ref="A1:E1"/>
  </mergeCells>
  <printOptions/>
  <pageMargins left="1.26" right="0.75" top="1" bottom="1" header="0.5" footer="0.5"/>
  <pageSetup fitToHeight="1" fitToWidth="1" horizontalDpi="600" verticalDpi="600" orientation="portrait" r:id="rId1"/>
  <headerFooter alignWithMargins="0">
    <oddFooter>&amp;L&amp;Z&amp;F&amp;R&amp;D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5.8515625" style="0" customWidth="1"/>
    <col min="2" max="2" width="27.140625" style="0" customWidth="1"/>
    <col min="3" max="3" width="5.8515625" style="0" customWidth="1"/>
    <col min="4" max="4" width="6.140625" style="0" customWidth="1"/>
    <col min="5" max="5" width="8.421875" style="0" customWidth="1"/>
    <col min="6" max="6" width="7.7109375" style="0" customWidth="1"/>
    <col min="7" max="9" width="7.7109375" style="0" hidden="1" customWidth="1"/>
    <col min="10" max="14" width="9.140625" style="10" customWidth="1"/>
    <col min="15" max="15" width="8.57421875" style="10" customWidth="1"/>
    <col min="16" max="17" width="9.140625" style="10" customWidth="1"/>
  </cols>
  <sheetData>
    <row r="1" spans="1:17" ht="18" customHeight="1" thickBot="1">
      <c r="A1" s="124" t="s">
        <v>301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52"/>
      <c r="B2" s="80"/>
      <c r="C2" s="80"/>
      <c r="D2" s="80"/>
      <c r="E2" s="80"/>
      <c r="F2" s="80"/>
      <c r="G2" s="80"/>
      <c r="H2" s="80"/>
      <c r="I2" s="80" t="s">
        <v>212</v>
      </c>
      <c r="J2" s="81" t="s">
        <v>7</v>
      </c>
      <c r="K2" s="81" t="s">
        <v>10</v>
      </c>
      <c r="L2" s="81"/>
      <c r="M2" s="81"/>
      <c r="N2" s="81"/>
      <c r="O2" s="81"/>
      <c r="P2" s="81" t="s">
        <v>7</v>
      </c>
      <c r="Q2" s="81"/>
    </row>
    <row r="3" spans="1:17" ht="12.75">
      <c r="A3" s="52"/>
      <c r="B3" s="80"/>
      <c r="C3" s="80"/>
      <c r="D3" s="80"/>
      <c r="E3" s="80" t="s">
        <v>6</v>
      </c>
      <c r="F3" s="80" t="s">
        <v>4</v>
      </c>
      <c r="G3" s="80"/>
      <c r="H3" s="80"/>
      <c r="I3" s="80" t="s">
        <v>213</v>
      </c>
      <c r="J3" s="81" t="s">
        <v>8</v>
      </c>
      <c r="K3" s="81" t="s">
        <v>11</v>
      </c>
      <c r="L3" s="81"/>
      <c r="M3" s="81"/>
      <c r="N3" s="81"/>
      <c r="O3" s="81"/>
      <c r="P3" s="81" t="s">
        <v>15</v>
      </c>
      <c r="Q3" s="81" t="s">
        <v>7</v>
      </c>
    </row>
    <row r="4" spans="1:17" ht="13.5" thickBot="1">
      <c r="A4" s="82" t="s">
        <v>0</v>
      </c>
      <c r="B4" s="83" t="s">
        <v>1</v>
      </c>
      <c r="C4" s="83" t="s">
        <v>2</v>
      </c>
      <c r="D4" s="83" t="s">
        <v>3</v>
      </c>
      <c r="E4" s="83" t="s">
        <v>5</v>
      </c>
      <c r="F4" s="83" t="s">
        <v>5</v>
      </c>
      <c r="G4" s="83" t="s">
        <v>210</v>
      </c>
      <c r="H4" s="83" t="s">
        <v>211</v>
      </c>
      <c r="I4" s="83" t="s">
        <v>214</v>
      </c>
      <c r="J4" s="84" t="s">
        <v>9</v>
      </c>
      <c r="K4" s="84" t="s">
        <v>12</v>
      </c>
      <c r="L4" s="84" t="s">
        <v>4</v>
      </c>
      <c r="M4" s="84" t="s">
        <v>13</v>
      </c>
      <c r="N4" s="84" t="s">
        <v>60</v>
      </c>
      <c r="O4" s="84" t="s">
        <v>14</v>
      </c>
      <c r="P4" s="84" t="s">
        <v>9</v>
      </c>
      <c r="Q4" s="84" t="s">
        <v>9</v>
      </c>
    </row>
    <row r="5" spans="1:17" ht="12.75">
      <c r="A5" s="52" t="s">
        <v>121</v>
      </c>
      <c r="B5" s="85" t="s">
        <v>201</v>
      </c>
      <c r="C5" s="80" t="s">
        <v>59</v>
      </c>
      <c r="D5" s="80">
        <v>4</v>
      </c>
      <c r="E5" s="95">
        <v>0.37</v>
      </c>
      <c r="F5" s="95">
        <v>0.45</v>
      </c>
      <c r="G5" s="86">
        <f>+E5*('Machinery Cost'!E6+'Machinery Cost'!E11)</f>
        <v>1.8321577777777776</v>
      </c>
      <c r="H5" s="86">
        <f>+E5*('Machinery Cost'!F6+'Machinery Cost'!F11)</f>
        <v>1.5098836666666668</v>
      </c>
      <c r="I5" s="86">
        <f>+E5*('Machinery Cost'!G6+'Machinery Cost'!H6+'Machinery Cost'!I6+'Machinery Cost'!G11+'Machinery Cost'!H11+'Machinery Cost'!I11)</f>
        <v>0.562955</v>
      </c>
      <c r="J5" s="86">
        <f>+G5+H5+I5</f>
        <v>3.9049964444444445</v>
      </c>
      <c r="K5" s="86">
        <f>+E5*('Machinery Cost'!L6+'Machinery Cost'!K6+'Machinery Cost'!K11+'Machinery Cost'!L11)</f>
        <v>6.302672499999999</v>
      </c>
      <c r="L5" s="86">
        <f>+F5*'Basic Input Costs'!C$46</f>
        <v>6.3</v>
      </c>
      <c r="M5" s="86">
        <v>0</v>
      </c>
      <c r="N5" s="86">
        <v>0</v>
      </c>
      <c r="O5" s="86">
        <f>(SUM(K5:N5))*(3/12)*'Basic Input Costs'!C$49</f>
        <v>0.24417677968749998</v>
      </c>
      <c r="P5" s="86">
        <f aca="true" t="shared" si="0" ref="P5:P18">SUM(K5:O5)</f>
        <v>12.846849279687499</v>
      </c>
      <c r="Q5" s="86">
        <f aca="true" t="shared" si="1" ref="Q5:Q23">+P5+J5</f>
        <v>16.751845724131943</v>
      </c>
    </row>
    <row r="6" spans="1:17" ht="12.75">
      <c r="A6" s="52" t="s">
        <v>122</v>
      </c>
      <c r="B6" s="85" t="s">
        <v>200</v>
      </c>
      <c r="C6" s="80" t="s">
        <v>59</v>
      </c>
      <c r="D6" s="80">
        <v>4</v>
      </c>
      <c r="E6" s="95">
        <v>0.15</v>
      </c>
      <c r="F6" s="95">
        <v>0.18</v>
      </c>
      <c r="G6" s="86">
        <f>+E6*('Machinery Cost'!E6+'Machinery Cost'!E12)</f>
        <v>0.7253666666666666</v>
      </c>
      <c r="H6" s="86">
        <f>+E6*('Machinery Cost'!F6+'Machinery Cost'!F12)</f>
        <v>0.618205</v>
      </c>
      <c r="I6" s="86">
        <f>+E6*('Machinery Cost'!G6+'Machinery Cost'!H6+'Machinery Cost'!I6+'Machinery Cost'!G12+'Machinery Cost'!H12+'Machinery Cost'!I12)</f>
        <v>0.228225</v>
      </c>
      <c r="J6" s="86">
        <f aca="true" t="shared" si="2" ref="J6:J13">+G6+H6+I6</f>
        <v>1.5717966666666667</v>
      </c>
      <c r="K6" s="86">
        <f>+E6*('Machinery Cost'!K6+'Machinery Cost'!L6+'Machinery Cost'!K12+'Machinery Cost'!L12)</f>
        <v>2.5551374999999994</v>
      </c>
      <c r="L6" s="86">
        <f>+F6*'Basic Input Costs'!C$46</f>
        <v>2.52</v>
      </c>
      <c r="M6" s="86">
        <v>0</v>
      </c>
      <c r="N6" s="86">
        <f>+'Year 4 IS'!E11</f>
        <v>7.6</v>
      </c>
      <c r="O6" s="86">
        <f>(SUM(K6:N6))*(3/12)*'Basic Input Costs'!C$49</f>
        <v>0.24558078906249997</v>
      </c>
      <c r="P6" s="86">
        <f t="shared" si="0"/>
        <v>12.920718289062497</v>
      </c>
      <c r="Q6" s="86">
        <f t="shared" si="1"/>
        <v>14.492514955729163</v>
      </c>
    </row>
    <row r="7" spans="1:17" ht="12.75">
      <c r="A7" s="52" t="s">
        <v>215</v>
      </c>
      <c r="B7" s="85" t="s">
        <v>216</v>
      </c>
      <c r="C7" s="80" t="s">
        <v>59</v>
      </c>
      <c r="D7" s="80">
        <v>4</v>
      </c>
      <c r="E7" s="95">
        <v>0.69</v>
      </c>
      <c r="F7" s="95">
        <v>0.83</v>
      </c>
      <c r="G7" s="86">
        <f>+E7*('Machinery Cost'!E6+'Machinery Cost'!E10)</f>
        <v>7.091666666666667</v>
      </c>
      <c r="H7" s="86">
        <f>+E7*('Machinery Cost'!F6+'Machinery Cost'!F10)</f>
        <v>5.876500000000001</v>
      </c>
      <c r="I7" s="86">
        <f>+E7*('Machinery Cost'!G6+'Machinery Cost'!H6+'Machinery Cost'!I6+'Machinery Cost'!G10+'Machinery Cost'!H10+'Machinery Cost'!I10)</f>
        <v>2.161425</v>
      </c>
      <c r="J7" s="86">
        <f t="shared" si="2"/>
        <v>15.129591666666668</v>
      </c>
      <c r="K7" s="86">
        <f>+E7*('Machinery Cost'!K6+'Machinery Cost'!L6+'Machinery Cost'!K10+'Machinery Cost'!L10)</f>
        <v>15.187762499999996</v>
      </c>
      <c r="L7" s="86">
        <f>+F7*'Basic Input Costs'!C$46</f>
        <v>11.62</v>
      </c>
      <c r="M7" s="86">
        <v>0</v>
      </c>
      <c r="N7" s="86">
        <v>0</v>
      </c>
      <c r="O7" s="86">
        <f>(SUM(K7:N7))*(3/12)*'Basic Input Costs'!C$49</f>
        <v>0.5194003984374999</v>
      </c>
      <c r="P7" s="86">
        <f t="shared" si="0"/>
        <v>27.327162898437496</v>
      </c>
      <c r="Q7" s="86">
        <f t="shared" si="1"/>
        <v>42.45675456510416</v>
      </c>
    </row>
    <row r="8" spans="1:17" ht="12.75">
      <c r="A8" s="52" t="s">
        <v>52</v>
      </c>
      <c r="B8" s="85" t="s">
        <v>129</v>
      </c>
      <c r="C8" s="80" t="s">
        <v>74</v>
      </c>
      <c r="D8" s="80">
        <v>4</v>
      </c>
      <c r="E8" s="95">
        <v>0</v>
      </c>
      <c r="F8" s="95">
        <v>1.9</v>
      </c>
      <c r="G8" s="86">
        <f>+'Machinery Cost'!E18</f>
        <v>70.83333333333334</v>
      </c>
      <c r="H8" s="86">
        <f>+'Machinery Cost'!F18</f>
        <v>74.37500000000001</v>
      </c>
      <c r="I8" s="86">
        <f>+'Machinery Cost'!G18+'Machinery Cost'!H18</f>
        <v>4.5600000000000005</v>
      </c>
      <c r="J8" s="86">
        <f t="shared" si="2"/>
        <v>149.76833333333337</v>
      </c>
      <c r="K8" s="86">
        <f>+'Machinery Cost'!K18+'Machinery Cost'!L18</f>
        <v>27.34</v>
      </c>
      <c r="L8" s="86">
        <f>+F8*'Basic Input Costs'!C$46</f>
        <v>26.599999999999998</v>
      </c>
      <c r="M8" s="86">
        <v>0</v>
      </c>
      <c r="N8" s="86">
        <f>+'Year 4 IS'!E20+'Year 4 IS'!E21</f>
        <v>110</v>
      </c>
      <c r="O8" s="86">
        <f>(SUM(K8:N8))*(6/12)*'Basic Input Costs'!C$49</f>
        <v>6.352675</v>
      </c>
      <c r="P8" s="86">
        <f t="shared" si="0"/>
        <v>170.292675</v>
      </c>
      <c r="Q8" s="86">
        <f t="shared" si="1"/>
        <v>320.06100833333335</v>
      </c>
    </row>
    <row r="9" spans="1:17" ht="12.75">
      <c r="A9" s="52" t="s">
        <v>124</v>
      </c>
      <c r="B9" s="85" t="s">
        <v>267</v>
      </c>
      <c r="C9" s="80" t="s">
        <v>74</v>
      </c>
      <c r="D9" s="80">
        <v>4</v>
      </c>
      <c r="E9" s="95">
        <v>0</v>
      </c>
      <c r="F9" s="95">
        <v>0</v>
      </c>
      <c r="G9" s="86"/>
      <c r="H9" s="86"/>
      <c r="I9" s="86"/>
      <c r="J9" s="86">
        <v>0</v>
      </c>
      <c r="K9" s="86">
        <v>0</v>
      </c>
      <c r="L9" s="86">
        <f>+'Year 4 IS'!E13</f>
        <v>990</v>
      </c>
      <c r="M9" s="86">
        <v>0</v>
      </c>
      <c r="N9" s="86">
        <v>0</v>
      </c>
      <c r="O9" s="86">
        <f>(SUM(K9:N9))*(2/12)*'Basic Input Costs'!C$49</f>
        <v>12.7875</v>
      </c>
      <c r="P9" s="86">
        <f t="shared" si="0"/>
        <v>1002.7875</v>
      </c>
      <c r="Q9" s="86">
        <f t="shared" si="1"/>
        <v>1002.7875</v>
      </c>
    </row>
    <row r="10" spans="1:17" ht="12.75">
      <c r="A10" s="52" t="s">
        <v>125</v>
      </c>
      <c r="B10" s="85" t="s">
        <v>184</v>
      </c>
      <c r="C10" s="80" t="s">
        <v>74</v>
      </c>
      <c r="D10" s="80">
        <v>4</v>
      </c>
      <c r="E10" s="95">
        <v>0.44</v>
      </c>
      <c r="F10" s="95">
        <v>0.54</v>
      </c>
      <c r="G10" s="86">
        <f>+E10*('Machinery Cost'!E15+'Machinery Cost'!E13)</f>
        <v>5.6979999999999995</v>
      </c>
      <c r="H10" s="86">
        <f>+E10*('Machinery Cost'!F15+'Machinery Cost'!F13)</f>
        <v>2.9773333333333336</v>
      </c>
      <c r="I10" s="86">
        <f>+E10*('Machinery Cost'!G15+'Machinery Cost'!H15+'Machinery Cost'!I15+'Machinery Cost'!G13+'Machinery Cost'!H13+'Machinery Cost'!I13)</f>
        <v>1.202402666666667</v>
      </c>
      <c r="J10" s="86">
        <f t="shared" si="2"/>
        <v>9.877735999999999</v>
      </c>
      <c r="K10" s="86">
        <f>+E10*('Machinery Cost'!K14+'Machinery Cost'!L14+'Machinery Cost'!K13+'Machinery Cost'!L13)</f>
        <v>7.470096615384616</v>
      </c>
      <c r="L10" s="86">
        <f>+'Year 4 IS'!E14</f>
        <v>45</v>
      </c>
      <c r="M10" s="86">
        <v>0</v>
      </c>
      <c r="N10" s="86">
        <v>0</v>
      </c>
      <c r="O10" s="86">
        <f>(SUM(K10:N10))*(2/12)*'Basic Input Costs'!C$49</f>
        <v>0.6777387479487179</v>
      </c>
      <c r="P10" s="86">
        <f t="shared" si="0"/>
        <v>53.147835363333336</v>
      </c>
      <c r="Q10" s="86">
        <f t="shared" si="1"/>
        <v>63.025571363333334</v>
      </c>
    </row>
    <row r="11" spans="1:17" ht="12.75">
      <c r="A11" s="52" t="s">
        <v>126</v>
      </c>
      <c r="B11" s="85" t="s">
        <v>130</v>
      </c>
      <c r="C11" s="80" t="s">
        <v>74</v>
      </c>
      <c r="D11" s="80">
        <v>4</v>
      </c>
      <c r="E11" s="95">
        <v>0</v>
      </c>
      <c r="F11" s="95">
        <v>2</v>
      </c>
      <c r="G11" s="86"/>
      <c r="H11" s="86"/>
      <c r="I11" s="86"/>
      <c r="J11" s="86">
        <v>0</v>
      </c>
      <c r="K11" s="86">
        <v>0</v>
      </c>
      <c r="L11" s="86">
        <f>+'Year 4 IS'!E15</f>
        <v>90</v>
      </c>
      <c r="M11" s="86">
        <v>0</v>
      </c>
      <c r="N11" s="86">
        <v>0</v>
      </c>
      <c r="O11" s="86">
        <f>(SUM(K11:N11))*(2/12)*'Basic Input Costs'!C$49</f>
        <v>1.1625</v>
      </c>
      <c r="P11" s="86">
        <f t="shared" si="0"/>
        <v>91.1625</v>
      </c>
      <c r="Q11" s="86">
        <f t="shared" si="1"/>
        <v>91.1625</v>
      </c>
    </row>
    <row r="12" spans="1:17" ht="12.75">
      <c r="A12" s="52" t="s">
        <v>53</v>
      </c>
      <c r="B12" s="85" t="s">
        <v>200</v>
      </c>
      <c r="C12" s="80" t="s">
        <v>73</v>
      </c>
      <c r="D12" s="80">
        <v>4</v>
      </c>
      <c r="E12" s="95">
        <v>0.05</v>
      </c>
      <c r="F12" s="95">
        <v>0.06</v>
      </c>
      <c r="G12" s="86">
        <f>+E12*('Machinery Cost'!E6+'Machinery Cost'!E12)</f>
        <v>0.2417888888888889</v>
      </c>
      <c r="H12" s="86">
        <f>+E12*('Machinery Cost'!F6+'Machinery Cost'!F12)</f>
        <v>0.20606833333333335</v>
      </c>
      <c r="I12" s="86">
        <f>+E12*('Machinery Cost'!G6+'Machinery Cost'!H6+'Machinery Cost'!I6+'Machinery Cost'!G12+'Machinery Cost'!H12+'Machinery Cost'!I12)</f>
        <v>0.076075</v>
      </c>
      <c r="J12" s="86">
        <f t="shared" si="2"/>
        <v>0.5239322222222222</v>
      </c>
      <c r="K12" s="86">
        <f>+E12*('Machinery Cost'!K6+'Machinery Cost'!L6+'Machinery Cost'!K12+'Machinery Cost'!L12)</f>
        <v>0.8517124999999999</v>
      </c>
      <c r="L12" s="86">
        <v>0.6</v>
      </c>
      <c r="M12" s="86">
        <v>0</v>
      </c>
      <c r="N12" s="86">
        <f>+'Year 4 IS'!E12</f>
        <v>4.68</v>
      </c>
      <c r="O12" s="86">
        <f>(SUM(K12:N12))*(2/12)*'Basic Input Costs'!C$49</f>
        <v>0.07920128645833331</v>
      </c>
      <c r="P12" s="86">
        <f t="shared" si="0"/>
        <v>6.210913786458332</v>
      </c>
      <c r="Q12" s="86">
        <f t="shared" si="1"/>
        <v>6.734846008680554</v>
      </c>
    </row>
    <row r="13" spans="1:17" ht="12.75">
      <c r="A13" s="52" t="s">
        <v>127</v>
      </c>
      <c r="B13" s="85" t="s">
        <v>200</v>
      </c>
      <c r="C13" s="80" t="s">
        <v>76</v>
      </c>
      <c r="D13" s="80">
        <v>4</v>
      </c>
      <c r="E13" s="95">
        <v>0.15</v>
      </c>
      <c r="F13" s="95">
        <v>0.18</v>
      </c>
      <c r="G13" s="86">
        <f>+E13*('Machinery Cost'!E6+'Machinery Cost'!E12)</f>
        <v>0.7253666666666666</v>
      </c>
      <c r="H13" s="86">
        <f>+E13*('Machinery Cost'!F6+'Machinery Cost'!F12)</f>
        <v>0.618205</v>
      </c>
      <c r="I13" s="86">
        <f>+E13*('Machinery Cost'!G6+'Machinery Cost'!H6+'Machinery Cost'!I6+'Machinery Cost'!G12+'Machinery Cost'!H12+'Machinery Cost'!I12)</f>
        <v>0.228225</v>
      </c>
      <c r="J13" s="86">
        <f t="shared" si="2"/>
        <v>1.5717966666666667</v>
      </c>
      <c r="K13" s="86">
        <f>+E13*('Machinery Cost'!K6+'Machinery Cost'!L6+'Machinery Cost'!K12+'Machinery Cost'!L12)</f>
        <v>2.5551374999999994</v>
      </c>
      <c r="L13" s="86">
        <f>+F13*'Basic Input Costs'!C$46</f>
        <v>2.52</v>
      </c>
      <c r="M13" s="86">
        <v>0</v>
      </c>
      <c r="N13" s="86">
        <f>+'Year 4 IS'!E16+'Year 4 IS'!E17</f>
        <v>15.45</v>
      </c>
      <c r="O13" s="86">
        <v>0</v>
      </c>
      <c r="P13" s="86">
        <f t="shared" si="0"/>
        <v>20.5251375</v>
      </c>
      <c r="Q13" s="86">
        <f t="shared" si="1"/>
        <v>22.096934166666667</v>
      </c>
    </row>
    <row r="14" spans="1:17" ht="12.75">
      <c r="A14" s="52" t="s">
        <v>47</v>
      </c>
      <c r="B14" s="85" t="s">
        <v>62</v>
      </c>
      <c r="C14" s="80" t="s">
        <v>76</v>
      </c>
      <c r="D14" s="80">
        <v>4</v>
      </c>
      <c r="E14" s="102">
        <v>0</v>
      </c>
      <c r="F14" s="95">
        <v>0</v>
      </c>
      <c r="G14" s="86"/>
      <c r="H14" s="86"/>
      <c r="I14" s="86"/>
      <c r="J14" s="86">
        <v>0</v>
      </c>
      <c r="K14" s="86">
        <v>0</v>
      </c>
      <c r="L14" s="86">
        <f>+F14*'Basic Input Costs'!C$46</f>
        <v>0</v>
      </c>
      <c r="M14" s="86">
        <f>+'Year 4 IS'!E18</f>
        <v>7.5</v>
      </c>
      <c r="N14" s="86">
        <f>+'Year 4 IS'!E19</f>
        <v>68.39999999999999</v>
      </c>
      <c r="O14" s="86">
        <v>0</v>
      </c>
      <c r="P14" s="86">
        <f t="shared" si="0"/>
        <v>75.89999999999999</v>
      </c>
      <c r="Q14" s="86">
        <f t="shared" si="1"/>
        <v>75.89999999999999</v>
      </c>
    </row>
    <row r="15" spans="1:17" ht="12.75">
      <c r="A15" s="52" t="s">
        <v>120</v>
      </c>
      <c r="B15" s="85" t="s">
        <v>128</v>
      </c>
      <c r="C15" s="80" t="s">
        <v>131</v>
      </c>
      <c r="D15" s="80">
        <v>4</v>
      </c>
      <c r="E15" s="95">
        <v>0</v>
      </c>
      <c r="F15" s="95">
        <v>0</v>
      </c>
      <c r="G15" s="86"/>
      <c r="H15" s="86"/>
      <c r="I15" s="86"/>
      <c r="J15" s="86">
        <v>0</v>
      </c>
      <c r="K15" s="86">
        <v>0</v>
      </c>
      <c r="L15" s="86">
        <f>+F15*'Basic Input Costs'!C$46</f>
        <v>0</v>
      </c>
      <c r="M15" s="86">
        <f>+'Year 4 IS'!E8</f>
        <v>7.5</v>
      </c>
      <c r="N15" s="86">
        <f>+'Year 4 IS'!E9+'Year 4 IS'!E10</f>
        <v>27.906800000000004</v>
      </c>
      <c r="O15" s="86">
        <f>(SUM(K15:N15))*(11/12)*'Basic Input Costs'!C$49</f>
        <v>2.5153580833333335</v>
      </c>
      <c r="P15" s="86">
        <f>SUM(K15:O15)</f>
        <v>37.922158083333336</v>
      </c>
      <c r="Q15" s="86">
        <f>+P15+J15</f>
        <v>37.922158083333336</v>
      </c>
    </row>
    <row r="16" spans="1:17" ht="12.75">
      <c r="A16" s="52" t="s">
        <v>55</v>
      </c>
      <c r="B16" s="88" t="s">
        <v>68</v>
      </c>
      <c r="C16" s="80" t="s">
        <v>77</v>
      </c>
      <c r="D16" s="80">
        <v>4</v>
      </c>
      <c r="E16" s="95">
        <v>0</v>
      </c>
      <c r="F16" s="95">
        <v>0</v>
      </c>
      <c r="G16" s="86"/>
      <c r="H16" s="86"/>
      <c r="I16" s="86"/>
      <c r="J16" s="86">
        <f>+'Basic Input Costs'!C48*'Year 6-15 IS '!E5</f>
        <v>234.5</v>
      </c>
      <c r="K16" s="86">
        <f>+E16*('Machinery Cost'!K15+'Machinery Cost'!L15)</f>
        <v>0</v>
      </c>
      <c r="L16" s="86">
        <f>+F16*'Basic Input Costs'!C$46</f>
        <v>0</v>
      </c>
      <c r="M16" s="86">
        <v>0</v>
      </c>
      <c r="N16" s="86">
        <v>0</v>
      </c>
      <c r="O16" s="86">
        <v>0</v>
      </c>
      <c r="P16" s="86">
        <f t="shared" si="0"/>
        <v>0</v>
      </c>
      <c r="Q16" s="86">
        <f t="shared" si="1"/>
        <v>234.5</v>
      </c>
    </row>
    <row r="17" spans="1:17" ht="12.75">
      <c r="A17" s="52" t="s">
        <v>31</v>
      </c>
      <c r="B17" s="85" t="s">
        <v>69</v>
      </c>
      <c r="C17" s="80" t="s">
        <v>77</v>
      </c>
      <c r="D17" s="80">
        <v>4</v>
      </c>
      <c r="E17" s="95">
        <v>1.8</v>
      </c>
      <c r="F17" s="95">
        <v>0</v>
      </c>
      <c r="G17" s="86">
        <f>+E17*('Machinery Cost'!E15)</f>
        <v>15.75</v>
      </c>
      <c r="H17" s="86">
        <f>+E17*'Machinery Cost'!F15</f>
        <v>6.51</v>
      </c>
      <c r="I17" s="86">
        <f>+'Machinery Cost'!G15+'Machinery Cost'!H15+'Machinery Cost'!I15</f>
        <v>1.5513333333333335</v>
      </c>
      <c r="J17" s="86">
        <f>+G17+H17+I17</f>
        <v>23.81133333333333</v>
      </c>
      <c r="K17" s="86">
        <f>+E17*('Machinery Cost'!K15+'Machinery Cost'!L15)</f>
        <v>27.256800000000002</v>
      </c>
      <c r="L17" s="86">
        <f>+F17*'Basic Input Costs'!C$46</f>
        <v>0</v>
      </c>
      <c r="M17" s="86">
        <v>0</v>
      </c>
      <c r="N17" s="86">
        <v>0</v>
      </c>
      <c r="O17" s="86">
        <f>(SUM(K17:N17))*(6/12)*'Basic Input Costs'!C$49</f>
        <v>1.0562010000000002</v>
      </c>
      <c r="P17" s="86">
        <f t="shared" si="0"/>
        <v>28.313001000000003</v>
      </c>
      <c r="Q17" s="86">
        <f t="shared" si="1"/>
        <v>52.12433433333334</v>
      </c>
    </row>
    <row r="18" spans="1:17" ht="12.75">
      <c r="A18" s="52" t="s">
        <v>56</v>
      </c>
      <c r="B18" s="85" t="s">
        <v>69</v>
      </c>
      <c r="C18" s="80" t="s">
        <v>77</v>
      </c>
      <c r="D18" s="80">
        <v>4</v>
      </c>
      <c r="E18" s="95">
        <v>3</v>
      </c>
      <c r="F18" s="95">
        <v>0</v>
      </c>
      <c r="G18" s="86">
        <f>+E18*'Machinery Cost'!E14</f>
        <v>23.076923076923077</v>
      </c>
      <c r="H18" s="86">
        <f>+E18*'Machinery Cost'!F14</f>
        <v>8.076923076923077</v>
      </c>
      <c r="I18" s="86">
        <f>+E18*('Machinery Cost'!G14+'Machinery Cost'!H14+'Machinery Cost'!I14)</f>
        <v>2.5200000000000005</v>
      </c>
      <c r="J18" s="86">
        <f>+G18+H18+I18</f>
        <v>33.673846153846156</v>
      </c>
      <c r="K18" s="86">
        <f>+E18*('Machinery Cost'!K14+'Machinery Cost'!L14)</f>
        <v>39.98307692307692</v>
      </c>
      <c r="L18" s="86">
        <f>+F18*'Basic Input Costs'!C$46</f>
        <v>0</v>
      </c>
      <c r="M18" s="86">
        <v>0</v>
      </c>
      <c r="N18" s="86">
        <v>0</v>
      </c>
      <c r="O18" s="86">
        <f>(SUM(K18:N18))*(6/12)*'Basic Input Costs'!C$49</f>
        <v>1.5493442307692307</v>
      </c>
      <c r="P18" s="86">
        <f t="shared" si="0"/>
        <v>41.53242115384615</v>
      </c>
      <c r="Q18" s="86">
        <f t="shared" si="1"/>
        <v>75.20626730769231</v>
      </c>
    </row>
    <row r="19" spans="1:17" ht="12.75">
      <c r="A19" s="52" t="s">
        <v>14</v>
      </c>
      <c r="B19" s="85" t="s">
        <v>140</v>
      </c>
      <c r="C19" s="80" t="s">
        <v>77</v>
      </c>
      <c r="D19" s="80">
        <v>4</v>
      </c>
      <c r="E19" s="95">
        <v>0</v>
      </c>
      <c r="F19" s="95">
        <v>0</v>
      </c>
      <c r="G19" s="86"/>
      <c r="H19" s="86"/>
      <c r="I19" s="86"/>
      <c r="J19" s="86">
        <f>+'Basic Input Costs'!F58*-1</f>
        <v>225.6043030050823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f t="shared" si="1"/>
        <v>225.6043030050823</v>
      </c>
    </row>
    <row r="20" spans="1:17" ht="12.75">
      <c r="A20" s="52" t="s">
        <v>57</v>
      </c>
      <c r="B20" s="85" t="s">
        <v>237</v>
      </c>
      <c r="C20" s="80" t="s">
        <v>77</v>
      </c>
      <c r="D20" s="80">
        <v>4</v>
      </c>
      <c r="E20" s="95">
        <v>0</v>
      </c>
      <c r="F20" s="95">
        <v>0</v>
      </c>
      <c r="G20" s="86"/>
      <c r="H20" s="86"/>
      <c r="I20" s="86"/>
      <c r="J20" s="86">
        <f>+'Year 4 IS'!C35</f>
        <v>566.6666666666666</v>
      </c>
      <c r="K20" s="86">
        <v>0</v>
      </c>
      <c r="L20" s="86">
        <f>+F20*'Basic Input Costs'!C$46</f>
        <v>0</v>
      </c>
      <c r="M20" s="86">
        <v>0</v>
      </c>
      <c r="N20" s="86">
        <v>0</v>
      </c>
      <c r="O20" s="86">
        <f>(SUM(K20:N20))*(6/12)*'Basic Input Costs'!C$49</f>
        <v>0</v>
      </c>
      <c r="P20" s="86">
        <f>SUM(K20:O20)</f>
        <v>0</v>
      </c>
      <c r="Q20" s="86">
        <f t="shared" si="1"/>
        <v>566.6666666666666</v>
      </c>
    </row>
    <row r="21" spans="1:17" ht="12.75">
      <c r="A21" s="52" t="s">
        <v>40</v>
      </c>
      <c r="B21" s="85" t="s">
        <v>192</v>
      </c>
      <c r="C21" s="80" t="s">
        <v>77</v>
      </c>
      <c r="D21" s="80">
        <v>4</v>
      </c>
      <c r="E21" s="95">
        <v>0</v>
      </c>
      <c r="F21" s="95">
        <v>0</v>
      </c>
      <c r="G21" s="86"/>
      <c r="H21" s="86"/>
      <c r="I21" s="86"/>
      <c r="J21" s="86">
        <f>+'Basic Input Costs'!C45</f>
        <v>152.15</v>
      </c>
      <c r="K21" s="86">
        <v>0</v>
      </c>
      <c r="L21" s="86">
        <f>+F21*'Basic Input Costs'!C$46</f>
        <v>0</v>
      </c>
      <c r="M21" s="86">
        <v>0</v>
      </c>
      <c r="N21" s="86">
        <v>0</v>
      </c>
      <c r="O21" s="86">
        <f>(SUM(K21:N21))*(6/12)*'Basic Input Costs'!C$49</f>
        <v>0</v>
      </c>
      <c r="P21" s="86">
        <f>SUM(K21:O21)</f>
        <v>0</v>
      </c>
      <c r="Q21" s="86">
        <f t="shared" si="1"/>
        <v>152.15</v>
      </c>
    </row>
    <row r="22" spans="1:17" ht="12.75">
      <c r="A22" s="52" t="s">
        <v>40</v>
      </c>
      <c r="B22" s="85" t="s">
        <v>189</v>
      </c>
      <c r="C22" s="80" t="s">
        <v>77</v>
      </c>
      <c r="D22" s="80">
        <v>3</v>
      </c>
      <c r="E22" s="95">
        <v>0</v>
      </c>
      <c r="F22" s="95">
        <v>0</v>
      </c>
      <c r="G22" s="86"/>
      <c r="H22" s="86"/>
      <c r="I22" s="86"/>
      <c r="J22" s="86">
        <f>+L24*'Basic Input Costs'!C47</f>
        <v>199.7772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f t="shared" si="1"/>
        <v>199.7772</v>
      </c>
    </row>
    <row r="23" spans="1:17" s="15" customFormat="1" ht="15.75" customHeight="1" thickBot="1">
      <c r="A23" s="79" t="s">
        <v>58</v>
      </c>
      <c r="B23" s="89" t="s">
        <v>71</v>
      </c>
      <c r="C23" s="90" t="s">
        <v>77</v>
      </c>
      <c r="D23" s="80">
        <v>4</v>
      </c>
      <c r="E23" s="97">
        <v>0</v>
      </c>
      <c r="F23" s="97">
        <v>0</v>
      </c>
      <c r="G23" s="91"/>
      <c r="H23" s="91"/>
      <c r="I23" s="91"/>
      <c r="J23" s="91">
        <v>0</v>
      </c>
      <c r="K23" s="91">
        <v>0</v>
      </c>
      <c r="L23" s="91">
        <f>+F23*'Basic Input Costs'!C$46</f>
        <v>0</v>
      </c>
      <c r="M23" s="91">
        <v>0</v>
      </c>
      <c r="N23" s="91">
        <f>+'Year 4 IS'!E25</f>
        <v>60</v>
      </c>
      <c r="O23" s="91">
        <f>(SUM(K23:N23))*(6/12)*'Basic Input Costs'!C$49</f>
        <v>2.325</v>
      </c>
      <c r="P23" s="91">
        <f>SUM(K23:O23)</f>
        <v>62.325</v>
      </c>
      <c r="Q23" s="91">
        <f t="shared" si="1"/>
        <v>62.325</v>
      </c>
    </row>
    <row r="24" spans="1:17" ht="18" customHeight="1" thickBot="1">
      <c r="A24" s="92" t="s">
        <v>72</v>
      </c>
      <c r="B24" s="93" t="s">
        <v>72</v>
      </c>
      <c r="C24" s="92"/>
      <c r="D24" s="92"/>
      <c r="E24" s="94">
        <f aca="true" t="shared" si="3" ref="E24:Q24">SUM(E5:E23)</f>
        <v>6.65</v>
      </c>
      <c r="F24" s="94">
        <f t="shared" si="3"/>
        <v>6.14</v>
      </c>
      <c r="G24" s="94">
        <f>SUM(G5:G23)</f>
        <v>125.97460307692309</v>
      </c>
      <c r="H24" s="94">
        <f>SUM(H5:H23)</f>
        <v>100.76811841025643</v>
      </c>
      <c r="I24" s="94">
        <f>SUM(I5:I23)</f>
        <v>13.090641000000002</v>
      </c>
      <c r="J24" s="94">
        <f t="shared" si="3"/>
        <v>1618.5315321589287</v>
      </c>
      <c r="K24" s="94">
        <f t="shared" si="3"/>
        <v>129.50239603846154</v>
      </c>
      <c r="L24" s="94">
        <f t="shared" si="3"/>
        <v>1175.1599999999999</v>
      </c>
      <c r="M24" s="94">
        <f t="shared" si="3"/>
        <v>15</v>
      </c>
      <c r="N24" s="94">
        <f t="shared" si="3"/>
        <v>294.03679999999997</v>
      </c>
      <c r="O24" s="94">
        <f t="shared" si="3"/>
        <v>29.514676315697113</v>
      </c>
      <c r="P24" s="94">
        <f t="shared" si="3"/>
        <v>1643.2138723541589</v>
      </c>
      <c r="Q24" s="94">
        <f t="shared" si="3"/>
        <v>3261.7454045130867</v>
      </c>
    </row>
    <row r="25" spans="5:9" ht="12.75">
      <c r="E25" s="10"/>
      <c r="F25" s="10"/>
      <c r="G25" s="10"/>
      <c r="H25" s="10"/>
      <c r="I25" s="10"/>
    </row>
    <row r="26" spans="5:9" ht="12.75">
      <c r="E26" s="10"/>
      <c r="F26" s="10"/>
      <c r="G26" s="10"/>
      <c r="H26" s="10"/>
      <c r="I26" s="10"/>
    </row>
  </sheetData>
  <sheetProtection/>
  <mergeCells count="1">
    <mergeCell ref="A1:Q1"/>
  </mergeCells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Footer>&amp;L&amp;Z&amp;F&amp;R&amp;D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1.57421875" style="0" customWidth="1"/>
    <col min="2" max="2" width="9.140625" style="1" customWidth="1"/>
    <col min="3" max="3" width="9.8515625" style="0" customWidth="1"/>
    <col min="4" max="4" width="10.57421875" style="0" customWidth="1"/>
    <col min="5" max="5" width="10.421875" style="0" customWidth="1"/>
  </cols>
  <sheetData>
    <row r="1" spans="1:5" s="15" customFormat="1" ht="18" customHeight="1" thickBot="1">
      <c r="A1" s="125" t="s">
        <v>289</v>
      </c>
      <c r="B1" s="125"/>
      <c r="C1" s="125"/>
      <c r="D1" s="125"/>
      <c r="E1" s="125"/>
    </row>
    <row r="2" spans="1:5" ht="12.75">
      <c r="A2" s="52"/>
      <c r="B2" s="80"/>
      <c r="C2" s="80" t="s">
        <v>82</v>
      </c>
      <c r="D2" s="80"/>
      <c r="E2" s="80" t="s">
        <v>85</v>
      </c>
    </row>
    <row r="3" spans="1:5" ht="13.5" thickBot="1">
      <c r="A3" s="82"/>
      <c r="B3" s="83" t="s">
        <v>81</v>
      </c>
      <c r="C3" s="83" t="s">
        <v>83</v>
      </c>
      <c r="D3" s="83" t="s">
        <v>84</v>
      </c>
      <c r="E3" s="83" t="s">
        <v>9</v>
      </c>
    </row>
    <row r="4" spans="1:5" ht="12.75">
      <c r="A4" s="98" t="s">
        <v>141</v>
      </c>
      <c r="B4" s="99"/>
      <c r="C4" s="99"/>
      <c r="D4" s="99"/>
      <c r="E4" s="99"/>
    </row>
    <row r="5" spans="1:5" ht="12.75">
      <c r="A5" s="98" t="s">
        <v>142</v>
      </c>
      <c r="B5" s="99" t="s">
        <v>105</v>
      </c>
      <c r="C5" s="100">
        <f>+'Basic Input Costs'!F5</f>
        <v>0.67</v>
      </c>
      <c r="D5" s="101">
        <f>+'Basic Input Costs'!F6</f>
        <v>4500</v>
      </c>
      <c r="E5" s="101">
        <f>+D5*C5</f>
        <v>3015</v>
      </c>
    </row>
    <row r="6" spans="1:5" ht="12.75">
      <c r="A6" s="98"/>
      <c r="B6" s="99"/>
      <c r="C6" s="99"/>
      <c r="D6" s="99"/>
      <c r="E6" s="99"/>
    </row>
    <row r="7" spans="1:5" ht="12.75">
      <c r="A7" s="52" t="s">
        <v>80</v>
      </c>
      <c r="B7" s="80"/>
      <c r="C7" s="52"/>
      <c r="D7" s="52"/>
      <c r="E7" s="52"/>
    </row>
    <row r="8" spans="1:5" ht="12.75">
      <c r="A8" s="52" t="s">
        <v>92</v>
      </c>
      <c r="B8" s="80" t="s">
        <v>103</v>
      </c>
      <c r="C8" s="86">
        <f>+'Basic Input Costs'!C34</f>
        <v>7.5</v>
      </c>
      <c r="D8" s="95">
        <v>1</v>
      </c>
      <c r="E8" s="86">
        <f aca="true" t="shared" si="0" ref="E8:E25">+D8*C8</f>
        <v>7.5</v>
      </c>
    </row>
    <row r="9" spans="1:5" ht="12.75">
      <c r="A9" s="52" t="s">
        <v>93</v>
      </c>
      <c r="B9" s="80" t="s">
        <v>106</v>
      </c>
      <c r="C9" s="86">
        <f>+'Basic Input Costs'!C16</f>
        <v>147.36</v>
      </c>
      <c r="D9" s="95">
        <v>0.13</v>
      </c>
      <c r="E9" s="86">
        <f t="shared" si="0"/>
        <v>19.156800000000004</v>
      </c>
    </row>
    <row r="10" spans="1:5" ht="12.75">
      <c r="A10" s="52" t="s">
        <v>94</v>
      </c>
      <c r="B10" s="80" t="s">
        <v>106</v>
      </c>
      <c r="C10" s="86">
        <f>+'Basic Input Costs'!C17</f>
        <v>35</v>
      </c>
      <c r="D10" s="95">
        <v>0.25</v>
      </c>
      <c r="E10" s="86">
        <f t="shared" si="0"/>
        <v>8.75</v>
      </c>
    </row>
    <row r="11" spans="1:5" ht="12.75">
      <c r="A11" s="52" t="s">
        <v>132</v>
      </c>
      <c r="B11" s="80" t="s">
        <v>106</v>
      </c>
      <c r="C11" s="86">
        <f>+'Basic Input Costs'!C18</f>
        <v>20</v>
      </c>
      <c r="D11" s="95">
        <v>0.38</v>
      </c>
      <c r="E11" s="86">
        <f t="shared" si="0"/>
        <v>7.6</v>
      </c>
    </row>
    <row r="12" spans="1:5" ht="12.75">
      <c r="A12" s="52" t="s">
        <v>191</v>
      </c>
      <c r="B12" s="80" t="s">
        <v>106</v>
      </c>
      <c r="C12" s="86">
        <f>+'Basic Input Costs'!C13</f>
        <v>36</v>
      </c>
      <c r="D12" s="95">
        <v>0.13</v>
      </c>
      <c r="E12" s="86">
        <f t="shared" si="0"/>
        <v>4.68</v>
      </c>
    </row>
    <row r="13" spans="1:5" ht="12.75">
      <c r="A13" s="52" t="s">
        <v>186</v>
      </c>
      <c r="B13" s="80" t="s">
        <v>105</v>
      </c>
      <c r="C13" s="86">
        <f>+'Basic Input Costs'!C25</f>
        <v>0.22</v>
      </c>
      <c r="D13" s="108">
        <f>+D5</f>
        <v>4500</v>
      </c>
      <c r="E13" s="86">
        <f t="shared" si="0"/>
        <v>990</v>
      </c>
    </row>
    <row r="14" spans="1:5" ht="12.75">
      <c r="A14" s="52" t="s">
        <v>187</v>
      </c>
      <c r="B14" s="80" t="s">
        <v>105</v>
      </c>
      <c r="C14" s="86">
        <f>+'Basic Input Costs'!C26</f>
        <v>0.01</v>
      </c>
      <c r="D14" s="108">
        <f>+D5</f>
        <v>4500</v>
      </c>
      <c r="E14" s="86">
        <f t="shared" si="0"/>
        <v>45</v>
      </c>
    </row>
    <row r="15" spans="1:5" ht="12.75">
      <c r="A15" s="52" t="s">
        <v>188</v>
      </c>
      <c r="B15" s="80" t="s">
        <v>105</v>
      </c>
      <c r="C15" s="86">
        <f>+'Basic Input Costs'!C27</f>
        <v>0.02</v>
      </c>
      <c r="D15" s="108">
        <f>+D5</f>
        <v>4500</v>
      </c>
      <c r="E15" s="86">
        <f t="shared" si="0"/>
        <v>90</v>
      </c>
    </row>
    <row r="16" spans="1:5" ht="12.75">
      <c r="A16" s="52" t="s">
        <v>133</v>
      </c>
      <c r="B16" s="80" t="s">
        <v>105</v>
      </c>
      <c r="C16" s="86">
        <f>+'Basic Input Costs'!C19</f>
        <v>6.05</v>
      </c>
      <c r="D16" s="95">
        <v>1.2</v>
      </c>
      <c r="E16" s="86">
        <f t="shared" si="0"/>
        <v>7.26</v>
      </c>
    </row>
    <row r="17" spans="1:5" ht="12.75">
      <c r="A17" s="52" t="s">
        <v>134</v>
      </c>
      <c r="B17" s="80" t="s">
        <v>105</v>
      </c>
      <c r="C17" s="86">
        <f>+'Basic Input Costs'!C20</f>
        <v>13</v>
      </c>
      <c r="D17" s="95">
        <v>0.63</v>
      </c>
      <c r="E17" s="86">
        <f t="shared" si="0"/>
        <v>8.19</v>
      </c>
    </row>
    <row r="18" spans="1:5" ht="12.75">
      <c r="A18" s="52" t="s">
        <v>135</v>
      </c>
      <c r="B18" s="80" t="s">
        <v>103</v>
      </c>
      <c r="C18" s="86">
        <f>+'Basic Input Costs'!C33</f>
        <v>7.5</v>
      </c>
      <c r="D18" s="95">
        <v>1</v>
      </c>
      <c r="E18" s="86">
        <f t="shared" si="0"/>
        <v>7.5</v>
      </c>
    </row>
    <row r="19" spans="1:5" ht="12.75">
      <c r="A19" s="52" t="s">
        <v>89</v>
      </c>
      <c r="B19" s="80" t="s">
        <v>105</v>
      </c>
      <c r="C19" s="86">
        <f>+'Basic Input Costs'!C10</f>
        <v>0.57</v>
      </c>
      <c r="D19" s="95">
        <v>120</v>
      </c>
      <c r="E19" s="86">
        <f t="shared" si="0"/>
        <v>68.39999999999999</v>
      </c>
    </row>
    <row r="20" spans="1:5" ht="12.75">
      <c r="A20" s="52" t="s">
        <v>190</v>
      </c>
      <c r="B20" s="80" t="s">
        <v>103</v>
      </c>
      <c r="C20" s="86">
        <f>+'Basic Input Costs'!C38</f>
        <v>60</v>
      </c>
      <c r="D20" s="95">
        <v>1</v>
      </c>
      <c r="E20" s="86">
        <f t="shared" si="0"/>
        <v>60</v>
      </c>
    </row>
    <row r="21" spans="1:5" ht="12.75">
      <c r="A21" s="52" t="s">
        <v>96</v>
      </c>
      <c r="B21" s="80" t="s">
        <v>103</v>
      </c>
      <c r="C21" s="86">
        <f>+'Basic Input Costs'!C39</f>
        <v>50</v>
      </c>
      <c r="D21" s="95">
        <v>1</v>
      </c>
      <c r="E21" s="86">
        <f t="shared" si="0"/>
        <v>50</v>
      </c>
    </row>
    <row r="22" spans="1:5" ht="12.75">
      <c r="A22" s="52" t="s">
        <v>217</v>
      </c>
      <c r="B22" s="80" t="s">
        <v>103</v>
      </c>
      <c r="C22" s="86">
        <f>+'Year 4 SOP '!K24</f>
        <v>129.50239603846154</v>
      </c>
      <c r="D22" s="95">
        <v>1</v>
      </c>
      <c r="E22" s="86">
        <f t="shared" si="0"/>
        <v>129.50239603846154</v>
      </c>
    </row>
    <row r="23" spans="1:5" ht="12.75">
      <c r="A23" s="52" t="s">
        <v>137</v>
      </c>
      <c r="B23" s="80" t="s">
        <v>103</v>
      </c>
      <c r="C23" s="86">
        <f>+'Year 4 SOP '!L24-'Year 4 SOP '!L11-'Year 4 SOP '!L10-'Year 4 SOP '!L9</f>
        <v>50.159999999999854</v>
      </c>
      <c r="D23" s="95">
        <v>1</v>
      </c>
      <c r="E23" s="86">
        <f t="shared" si="0"/>
        <v>50.159999999999854</v>
      </c>
    </row>
    <row r="24" spans="1:5" ht="12.75">
      <c r="A24" s="52" t="s">
        <v>97</v>
      </c>
      <c r="B24" s="80" t="s">
        <v>103</v>
      </c>
      <c r="C24" s="86">
        <f>+'Year 4 SOP '!O24</f>
        <v>29.514676315697113</v>
      </c>
      <c r="D24" s="95">
        <v>1</v>
      </c>
      <c r="E24" s="86">
        <f t="shared" si="0"/>
        <v>29.514676315697113</v>
      </c>
    </row>
    <row r="25" spans="1:5" ht="12.75">
      <c r="A25" s="52" t="s">
        <v>58</v>
      </c>
      <c r="B25" s="80" t="s">
        <v>103</v>
      </c>
      <c r="C25" s="86">
        <f>+'Basic Input Costs'!C42</f>
        <v>60</v>
      </c>
      <c r="D25" s="95">
        <v>1</v>
      </c>
      <c r="E25" s="86">
        <f t="shared" si="0"/>
        <v>60</v>
      </c>
    </row>
    <row r="26" spans="1:5" ht="12.75">
      <c r="A26" s="52"/>
      <c r="B26" s="80"/>
      <c r="C26" s="86"/>
      <c r="D26" s="86"/>
      <c r="E26" s="86"/>
    </row>
    <row r="27" spans="1:5" ht="12.75">
      <c r="A27" s="52" t="s">
        <v>98</v>
      </c>
      <c r="B27" s="80"/>
      <c r="C27" s="86"/>
      <c r="D27" s="86"/>
      <c r="E27" s="86">
        <f>SUM(E8:E25)</f>
        <v>1643.2138723541586</v>
      </c>
    </row>
    <row r="28" spans="1:5" ht="12.75">
      <c r="A28" s="52"/>
      <c r="B28" s="80"/>
      <c r="C28" s="86"/>
      <c r="D28" s="86"/>
      <c r="E28" s="86"/>
    </row>
    <row r="29" spans="1:5" ht="12.75">
      <c r="A29" s="52" t="s">
        <v>99</v>
      </c>
      <c r="B29" s="80"/>
      <c r="C29" s="86"/>
      <c r="D29" s="86"/>
      <c r="E29" s="86"/>
    </row>
    <row r="30" spans="1:5" ht="12.75">
      <c r="A30" s="52" t="s">
        <v>100</v>
      </c>
      <c r="B30" s="80" t="s">
        <v>103</v>
      </c>
      <c r="C30" s="86">
        <f>+'Year 4 SOP '!G24</f>
        <v>125.97460307692309</v>
      </c>
      <c r="D30" s="95">
        <v>1</v>
      </c>
      <c r="E30" s="86">
        <f>+D30*C30</f>
        <v>125.97460307692309</v>
      </c>
    </row>
    <row r="31" spans="1:5" ht="12.75">
      <c r="A31" s="52" t="s">
        <v>101</v>
      </c>
      <c r="B31" s="80" t="s">
        <v>103</v>
      </c>
      <c r="C31" s="86">
        <f>+'Year 4 SOP '!H24</f>
        <v>100.76811841025643</v>
      </c>
      <c r="D31" s="95">
        <v>1</v>
      </c>
      <c r="E31" s="86">
        <f aca="true" t="shared" si="1" ref="E31:E37">+D31*C31</f>
        <v>100.76811841025643</v>
      </c>
    </row>
    <row r="32" spans="1:5" ht="12.75">
      <c r="A32" s="52" t="s">
        <v>102</v>
      </c>
      <c r="B32" s="80" t="s">
        <v>103</v>
      </c>
      <c r="C32" s="86">
        <f>+'Year 4 SOP '!I24</f>
        <v>13.090641000000002</v>
      </c>
      <c r="D32" s="95">
        <v>1</v>
      </c>
      <c r="E32" s="86">
        <f t="shared" si="1"/>
        <v>13.090641000000002</v>
      </c>
    </row>
    <row r="33" spans="1:5" ht="12.75">
      <c r="A33" s="52" t="s">
        <v>107</v>
      </c>
      <c r="B33" s="80" t="s">
        <v>103</v>
      </c>
      <c r="C33" s="86">
        <f>+'Basic Input Costs'!C45</f>
        <v>152.15</v>
      </c>
      <c r="D33" s="95">
        <v>1</v>
      </c>
      <c r="E33" s="86">
        <f t="shared" si="1"/>
        <v>152.15</v>
      </c>
    </row>
    <row r="34" spans="1:5" ht="12.75">
      <c r="A34" s="52" t="s">
        <v>189</v>
      </c>
      <c r="B34" s="80" t="s">
        <v>103</v>
      </c>
      <c r="C34" s="86">
        <f>+'Year 4 SOP '!J22</f>
        <v>199.7772</v>
      </c>
      <c r="D34" s="95">
        <v>1</v>
      </c>
      <c r="E34" s="86">
        <f t="shared" si="1"/>
        <v>199.7772</v>
      </c>
    </row>
    <row r="35" spans="1:5" ht="12.75">
      <c r="A35" s="85" t="s">
        <v>237</v>
      </c>
      <c r="B35" s="80" t="s">
        <v>103</v>
      </c>
      <c r="C35" s="86">
        <f>+'Basic Input Costs'!C43</f>
        <v>566.6666666666666</v>
      </c>
      <c r="D35" s="95">
        <v>1</v>
      </c>
      <c r="E35" s="86">
        <f t="shared" si="1"/>
        <v>566.6666666666666</v>
      </c>
    </row>
    <row r="36" spans="1:5" ht="12.75">
      <c r="A36" s="52" t="s">
        <v>55</v>
      </c>
      <c r="B36" s="80" t="s">
        <v>103</v>
      </c>
      <c r="C36" s="86">
        <f>+'Year 4 SOP '!J16</f>
        <v>234.5</v>
      </c>
      <c r="D36" s="95">
        <v>1</v>
      </c>
      <c r="E36" s="86">
        <f t="shared" si="1"/>
        <v>234.5</v>
      </c>
    </row>
    <row r="37" spans="1:5" ht="12.75">
      <c r="A37" s="52" t="s">
        <v>139</v>
      </c>
      <c r="B37" s="80" t="s">
        <v>103</v>
      </c>
      <c r="C37" s="86">
        <f>+'Year 4 SOP '!J19</f>
        <v>225.6043030050823</v>
      </c>
      <c r="D37" s="95">
        <v>1</v>
      </c>
      <c r="E37" s="86">
        <f t="shared" si="1"/>
        <v>225.6043030050823</v>
      </c>
    </row>
    <row r="38" spans="1:5" ht="12.75">
      <c r="A38" s="52"/>
      <c r="B38" s="80"/>
      <c r="C38" s="86"/>
      <c r="D38" s="86"/>
      <c r="E38" s="86"/>
    </row>
    <row r="39" spans="1:5" ht="12.75">
      <c r="A39" s="52" t="s">
        <v>109</v>
      </c>
      <c r="B39" s="80"/>
      <c r="C39" s="86"/>
      <c r="D39" s="86"/>
      <c r="E39" s="86">
        <f>SUM(E30:E37)</f>
        <v>1618.5315321589285</v>
      </c>
    </row>
    <row r="40" spans="1:5" ht="12.75">
      <c r="A40" s="52"/>
      <c r="B40" s="80"/>
      <c r="C40" s="86"/>
      <c r="D40" s="86"/>
      <c r="E40" s="86"/>
    </row>
    <row r="41" spans="1:5" ht="12.75">
      <c r="A41" s="103" t="s">
        <v>108</v>
      </c>
      <c r="B41" s="80"/>
      <c r="C41" s="86"/>
      <c r="D41" s="86"/>
      <c r="E41" s="86">
        <f>+E39+E27</f>
        <v>3261.745404513087</v>
      </c>
    </row>
    <row r="42" spans="1:5" ht="12.75">
      <c r="A42" s="103"/>
      <c r="B42" s="80"/>
      <c r="C42" s="86"/>
      <c r="D42" s="86"/>
      <c r="E42" s="86"/>
    </row>
    <row r="43" spans="1:5" ht="13.5" thickBot="1">
      <c r="A43" s="79" t="s">
        <v>144</v>
      </c>
      <c r="B43" s="90"/>
      <c r="C43" s="91"/>
      <c r="D43" s="91"/>
      <c r="E43" s="91">
        <f>+E5-E41</f>
        <v>-246.74540451308712</v>
      </c>
    </row>
    <row r="46" s="15" customFormat="1" ht="18" customHeight="1"/>
  </sheetData>
  <sheetProtection/>
  <mergeCells count="1">
    <mergeCell ref="A1:E1"/>
  </mergeCells>
  <printOptions/>
  <pageMargins left="1.26" right="0.75" top="1" bottom="1" header="0.5" footer="0.5"/>
  <pageSetup horizontalDpi="600" verticalDpi="600" orientation="portrait" r:id="rId1"/>
  <headerFooter alignWithMargins="0">
    <oddFooter>&amp;L&amp;Z&amp;F&amp;R&amp;D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5.8515625" style="0" customWidth="1"/>
    <col min="2" max="2" width="27.140625" style="0" customWidth="1"/>
    <col min="3" max="3" width="5.8515625" style="0" customWidth="1"/>
    <col min="4" max="4" width="6.140625" style="0" customWidth="1"/>
    <col min="5" max="5" width="8.421875" style="0" customWidth="1"/>
    <col min="6" max="6" width="7.7109375" style="0" customWidth="1"/>
    <col min="7" max="9" width="7.7109375" style="0" hidden="1" customWidth="1"/>
    <col min="10" max="14" width="9.140625" style="10" customWidth="1"/>
    <col min="15" max="15" width="8.57421875" style="10" customWidth="1"/>
    <col min="16" max="17" width="9.140625" style="10" customWidth="1"/>
  </cols>
  <sheetData>
    <row r="1" spans="1:17" ht="18" customHeight="1" thickBot="1">
      <c r="A1" s="124" t="s">
        <v>302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52"/>
      <c r="B2" s="80"/>
      <c r="C2" s="80"/>
      <c r="D2" s="80"/>
      <c r="E2" s="80"/>
      <c r="F2" s="80"/>
      <c r="G2" s="80"/>
      <c r="H2" s="80"/>
      <c r="I2" s="80" t="s">
        <v>212</v>
      </c>
      <c r="J2" s="81" t="s">
        <v>7</v>
      </c>
      <c r="K2" s="81" t="s">
        <v>10</v>
      </c>
      <c r="L2" s="81"/>
      <c r="M2" s="81"/>
      <c r="N2" s="81"/>
      <c r="O2" s="81"/>
      <c r="P2" s="81" t="s">
        <v>7</v>
      </c>
      <c r="Q2" s="81"/>
    </row>
    <row r="3" spans="1:17" ht="12.75">
      <c r="A3" s="52"/>
      <c r="B3" s="80"/>
      <c r="C3" s="80"/>
      <c r="D3" s="80"/>
      <c r="E3" s="80" t="s">
        <v>6</v>
      </c>
      <c r="F3" s="80" t="s">
        <v>4</v>
      </c>
      <c r="G3" s="80"/>
      <c r="H3" s="80"/>
      <c r="I3" s="80" t="s">
        <v>213</v>
      </c>
      <c r="J3" s="81" t="s">
        <v>8</v>
      </c>
      <c r="K3" s="81" t="s">
        <v>11</v>
      </c>
      <c r="L3" s="81"/>
      <c r="M3" s="81"/>
      <c r="N3" s="81"/>
      <c r="O3" s="81"/>
      <c r="P3" s="81" t="s">
        <v>15</v>
      </c>
      <c r="Q3" s="81" t="s">
        <v>7</v>
      </c>
    </row>
    <row r="4" spans="1:17" ht="13.5" thickBot="1">
      <c r="A4" s="82" t="s">
        <v>0</v>
      </c>
      <c r="B4" s="83" t="s">
        <v>1</v>
      </c>
      <c r="C4" s="83" t="s">
        <v>2</v>
      </c>
      <c r="D4" s="83" t="s">
        <v>3</v>
      </c>
      <c r="E4" s="83" t="s">
        <v>5</v>
      </c>
      <c r="F4" s="83" t="s">
        <v>5</v>
      </c>
      <c r="G4" s="83" t="s">
        <v>210</v>
      </c>
      <c r="H4" s="83" t="s">
        <v>211</v>
      </c>
      <c r="I4" s="83" t="s">
        <v>214</v>
      </c>
      <c r="J4" s="84" t="s">
        <v>9</v>
      </c>
      <c r="K4" s="84" t="s">
        <v>12</v>
      </c>
      <c r="L4" s="84" t="s">
        <v>4</v>
      </c>
      <c r="M4" s="84" t="s">
        <v>13</v>
      </c>
      <c r="N4" s="84" t="s">
        <v>60</v>
      </c>
      <c r="O4" s="84" t="s">
        <v>14</v>
      </c>
      <c r="P4" s="84" t="s">
        <v>9</v>
      </c>
      <c r="Q4" s="84" t="s">
        <v>9</v>
      </c>
    </row>
    <row r="5" spans="1:17" ht="12.75">
      <c r="A5" s="52" t="s">
        <v>121</v>
      </c>
      <c r="B5" s="85" t="s">
        <v>201</v>
      </c>
      <c r="C5" s="80" t="s">
        <v>59</v>
      </c>
      <c r="D5" s="80">
        <v>5</v>
      </c>
      <c r="E5" s="95">
        <v>0.37</v>
      </c>
      <c r="F5" s="95">
        <v>0.45</v>
      </c>
      <c r="G5" s="86">
        <f>+E5*('Machinery Cost'!E6+'Machinery Cost'!E11)</f>
        <v>1.8321577777777776</v>
      </c>
      <c r="H5" s="86">
        <f>+E5*('Machinery Cost'!F6+'Machinery Cost'!F11)</f>
        <v>1.5098836666666668</v>
      </c>
      <c r="I5" s="86">
        <f>+E5*('Machinery Cost'!G6+'Machinery Cost'!H6+'Machinery Cost'!I6+'Machinery Cost'!G11+'Machinery Cost'!H11+'Machinery Cost'!I11)</f>
        <v>0.562955</v>
      </c>
      <c r="J5" s="86">
        <f>+G5+H5+I5</f>
        <v>3.9049964444444445</v>
      </c>
      <c r="K5" s="86">
        <f>+E5*('Machinery Cost'!L6+'Machinery Cost'!K6+'Machinery Cost'!K11+'Machinery Cost'!L11)</f>
        <v>6.302672499999999</v>
      </c>
      <c r="L5" s="86">
        <f>+F5*'Basic Input Costs'!C$46</f>
        <v>6.3</v>
      </c>
      <c r="M5" s="86">
        <v>0</v>
      </c>
      <c r="N5" s="86">
        <v>0</v>
      </c>
      <c r="O5" s="86">
        <f>(SUM(K5:N5))*(3/12)*'Basic Input Costs'!C$49</f>
        <v>0.24417677968749998</v>
      </c>
      <c r="P5" s="86">
        <f aca="true" t="shared" si="0" ref="P5:P18">SUM(K5:O5)</f>
        <v>12.846849279687499</v>
      </c>
      <c r="Q5" s="86">
        <f aca="true" t="shared" si="1" ref="Q5:Q23">+P5+J5</f>
        <v>16.751845724131943</v>
      </c>
    </row>
    <row r="6" spans="1:17" ht="12.75">
      <c r="A6" s="52" t="s">
        <v>122</v>
      </c>
      <c r="B6" s="85" t="s">
        <v>200</v>
      </c>
      <c r="C6" s="80" t="s">
        <v>59</v>
      </c>
      <c r="D6" s="80">
        <v>5</v>
      </c>
      <c r="E6" s="95">
        <v>0.15</v>
      </c>
      <c r="F6" s="95">
        <v>0.18</v>
      </c>
      <c r="G6" s="86">
        <f>+E6*('Machinery Cost'!E6+'Machinery Cost'!E12)</f>
        <v>0.7253666666666666</v>
      </c>
      <c r="H6" s="86">
        <f>+E6*('Machinery Cost'!F6+'Machinery Cost'!F12)</f>
        <v>0.618205</v>
      </c>
      <c r="I6" s="86">
        <f>+E6*('Machinery Cost'!G6+'Machinery Cost'!H6+'Machinery Cost'!I6+'Machinery Cost'!G12+'Machinery Cost'!H12+'Machinery Cost'!I12)</f>
        <v>0.228225</v>
      </c>
      <c r="J6" s="86">
        <f>+G6+H6+I6</f>
        <v>1.5717966666666667</v>
      </c>
      <c r="K6" s="86">
        <f>+E6*('Machinery Cost'!K6+'Machinery Cost'!L6+'Machinery Cost'!K12+'Machinery Cost'!L12)</f>
        <v>2.5551374999999994</v>
      </c>
      <c r="L6" s="86">
        <f>+F6*'Basic Input Costs'!C$46</f>
        <v>2.52</v>
      </c>
      <c r="M6" s="86">
        <v>0</v>
      </c>
      <c r="N6" s="86">
        <f>+'Year 5 IS'!E11</f>
        <v>7.6</v>
      </c>
      <c r="O6" s="86">
        <f>(SUM(K6:N6))*(3/12)*'Basic Input Costs'!C$49</f>
        <v>0.24558078906249997</v>
      </c>
      <c r="P6" s="86">
        <f t="shared" si="0"/>
        <v>12.920718289062497</v>
      </c>
      <c r="Q6" s="86">
        <f t="shared" si="1"/>
        <v>14.492514955729163</v>
      </c>
    </row>
    <row r="7" spans="1:17" ht="12.75">
      <c r="A7" s="52" t="s">
        <v>123</v>
      </c>
      <c r="B7" s="85" t="s">
        <v>202</v>
      </c>
      <c r="C7" s="80" t="s">
        <v>59</v>
      </c>
      <c r="D7" s="80">
        <v>5</v>
      </c>
      <c r="E7" s="95">
        <v>0.69</v>
      </c>
      <c r="F7" s="95">
        <v>0.83</v>
      </c>
      <c r="G7" s="86">
        <f>+E7*('Machinery Cost'!E6+'Machinery Cost'!E10)</f>
        <v>7.091666666666667</v>
      </c>
      <c r="H7" s="86">
        <f>+E7*('Machinery Cost'!F6+'Machinery Cost'!F10)</f>
        <v>5.876500000000001</v>
      </c>
      <c r="I7" s="86">
        <f>+E7*('Machinery Cost'!G6+'Machinery Cost'!H6+'Machinery Cost'!I6+'Machinery Cost'!G10+'Machinery Cost'!H10+'Machinery Cost'!I10)</f>
        <v>2.161425</v>
      </c>
      <c r="J7" s="86">
        <f>+G7+H7+I7</f>
        <v>15.129591666666668</v>
      </c>
      <c r="K7" s="86">
        <f>+E7*('Machinery Cost'!K6+'Machinery Cost'!L6+'Machinery Cost'!K10+'Machinery Cost'!L10)</f>
        <v>15.187762499999996</v>
      </c>
      <c r="L7" s="86">
        <f>+F7*'Basic Input Costs'!C$46</f>
        <v>11.62</v>
      </c>
      <c r="M7" s="86">
        <v>0</v>
      </c>
      <c r="N7" s="86">
        <v>0</v>
      </c>
      <c r="O7" s="86">
        <f>(SUM(K7:N7))*(3/12)*'Basic Input Costs'!C$49</f>
        <v>0.5194003984374999</v>
      </c>
      <c r="P7" s="86">
        <f t="shared" si="0"/>
        <v>27.327162898437496</v>
      </c>
      <c r="Q7" s="86">
        <f t="shared" si="1"/>
        <v>42.45675456510416</v>
      </c>
    </row>
    <row r="8" spans="1:17" ht="12.75">
      <c r="A8" s="52" t="s">
        <v>52</v>
      </c>
      <c r="B8" s="85" t="s">
        <v>129</v>
      </c>
      <c r="C8" s="80" t="s">
        <v>74</v>
      </c>
      <c r="D8" s="80">
        <v>5</v>
      </c>
      <c r="E8" s="95">
        <v>0</v>
      </c>
      <c r="F8" s="95">
        <v>1.9</v>
      </c>
      <c r="G8" s="86">
        <f>+'Machinery Cost'!E18</f>
        <v>70.83333333333334</v>
      </c>
      <c r="H8" s="86">
        <f>+'Machinery Cost'!F18</f>
        <v>74.37500000000001</v>
      </c>
      <c r="I8" s="86">
        <f>+'Machinery Cost'!G18+'Machinery Cost'!H18</f>
        <v>4.5600000000000005</v>
      </c>
      <c r="J8" s="86">
        <f>+G8+H8+I8</f>
        <v>149.76833333333337</v>
      </c>
      <c r="K8" s="86">
        <f>+'Machinery Cost'!K18+'Machinery Cost'!L18</f>
        <v>27.34</v>
      </c>
      <c r="L8" s="86">
        <f>+F8*'Basic Input Costs'!C$46</f>
        <v>26.599999999999998</v>
      </c>
      <c r="M8" s="86">
        <v>0</v>
      </c>
      <c r="N8" s="86">
        <f>+'Year 5 IS'!E20+'Year 5 IS'!E21</f>
        <v>110</v>
      </c>
      <c r="O8" s="86">
        <f>(SUM(K8:N8))*(6/12)*'Basic Input Costs'!C$49</f>
        <v>6.352675</v>
      </c>
      <c r="P8" s="86">
        <f t="shared" si="0"/>
        <v>170.292675</v>
      </c>
      <c r="Q8" s="86">
        <f t="shared" si="1"/>
        <v>320.06100833333335</v>
      </c>
    </row>
    <row r="9" spans="1:17" ht="12.75">
      <c r="A9" s="52" t="s">
        <v>124</v>
      </c>
      <c r="B9" s="85" t="s">
        <v>267</v>
      </c>
      <c r="C9" s="80" t="s">
        <v>74</v>
      </c>
      <c r="D9" s="80">
        <v>5</v>
      </c>
      <c r="E9" s="95">
        <v>0</v>
      </c>
      <c r="F9" s="95">
        <v>0</v>
      </c>
      <c r="G9" s="86"/>
      <c r="H9" s="86"/>
      <c r="I9" s="86"/>
      <c r="J9" s="86">
        <v>0</v>
      </c>
      <c r="K9" s="86">
        <v>0</v>
      </c>
      <c r="L9" s="86">
        <f>+'Year 5 IS'!E13</f>
        <v>1320</v>
      </c>
      <c r="M9" s="86">
        <v>0</v>
      </c>
      <c r="N9" s="86">
        <v>0</v>
      </c>
      <c r="O9" s="86">
        <f>(SUM(K9:N9))*(2/12)*'Basic Input Costs'!C$49</f>
        <v>17.05</v>
      </c>
      <c r="P9" s="86">
        <f t="shared" si="0"/>
        <v>1337.05</v>
      </c>
      <c r="Q9" s="86">
        <f t="shared" si="1"/>
        <v>1337.05</v>
      </c>
    </row>
    <row r="10" spans="1:17" ht="12.75">
      <c r="A10" s="52" t="s">
        <v>125</v>
      </c>
      <c r="B10" s="85" t="s">
        <v>184</v>
      </c>
      <c r="C10" s="80" t="s">
        <v>74</v>
      </c>
      <c r="D10" s="80">
        <v>5</v>
      </c>
      <c r="E10" s="95">
        <v>0.44</v>
      </c>
      <c r="F10" s="95">
        <v>0.54</v>
      </c>
      <c r="G10" s="86">
        <f>+E10*('Machinery Cost'!E15+'Machinery Cost'!E13)</f>
        <v>5.6979999999999995</v>
      </c>
      <c r="H10" s="86">
        <f>+E10*('Machinery Cost'!F15+'Machinery Cost'!F13)</f>
        <v>2.9773333333333336</v>
      </c>
      <c r="I10" s="86">
        <f>+E10*('Machinery Cost'!G15+'Machinery Cost'!H15+'Machinery Cost'!I15+'Machinery Cost'!G13+'Machinery Cost'!H13+'Machinery Cost'!I13)</f>
        <v>1.202402666666667</v>
      </c>
      <c r="J10" s="86">
        <f>+G10+H10+I10</f>
        <v>9.877735999999999</v>
      </c>
      <c r="K10" s="86">
        <f>+E10*('Machinery Cost'!K14+'Machinery Cost'!L14+'Machinery Cost'!K13+'Machinery Cost'!L13)</f>
        <v>7.470096615384616</v>
      </c>
      <c r="L10" s="86">
        <f>+'Year 5 IS'!E14</f>
        <v>60</v>
      </c>
      <c r="M10" s="86">
        <v>0</v>
      </c>
      <c r="N10" s="86">
        <v>0</v>
      </c>
      <c r="O10" s="86">
        <f>(SUM(K10:N10))*(2/12)*'Basic Input Costs'!C$49</f>
        <v>0.871488747948718</v>
      </c>
      <c r="P10" s="86">
        <f t="shared" si="0"/>
        <v>68.34158536333334</v>
      </c>
      <c r="Q10" s="86">
        <f t="shared" si="1"/>
        <v>78.21932136333334</v>
      </c>
    </row>
    <row r="11" spans="1:17" ht="12.75">
      <c r="A11" s="52" t="s">
        <v>126</v>
      </c>
      <c r="B11" s="85" t="s">
        <v>130</v>
      </c>
      <c r="C11" s="80" t="s">
        <v>74</v>
      </c>
      <c r="D11" s="80">
        <v>5</v>
      </c>
      <c r="E11" s="95">
        <v>0</v>
      </c>
      <c r="F11" s="95">
        <v>2</v>
      </c>
      <c r="G11" s="86"/>
      <c r="H11" s="86"/>
      <c r="I11" s="86"/>
      <c r="J11" s="86">
        <v>0</v>
      </c>
      <c r="K11" s="86">
        <v>0</v>
      </c>
      <c r="L11" s="86">
        <f>+'Year 5 IS'!E15</f>
        <v>120</v>
      </c>
      <c r="M11" s="86">
        <v>0</v>
      </c>
      <c r="N11" s="86">
        <v>0</v>
      </c>
      <c r="O11" s="86">
        <f>(SUM(K11:N11))*(2/12)*'Basic Input Costs'!C$49</f>
        <v>1.55</v>
      </c>
      <c r="P11" s="86">
        <f t="shared" si="0"/>
        <v>121.55</v>
      </c>
      <c r="Q11" s="86">
        <f t="shared" si="1"/>
        <v>121.55</v>
      </c>
    </row>
    <row r="12" spans="1:17" ht="12.75">
      <c r="A12" s="52" t="s">
        <v>53</v>
      </c>
      <c r="B12" s="85" t="s">
        <v>200</v>
      </c>
      <c r="C12" s="80" t="s">
        <v>73</v>
      </c>
      <c r="D12" s="80">
        <v>5</v>
      </c>
      <c r="E12" s="95">
        <v>0.05</v>
      </c>
      <c r="F12" s="95">
        <v>0.06</v>
      </c>
      <c r="G12" s="86">
        <f>+E12*('Machinery Cost'!E6+'Machinery Cost'!E12)</f>
        <v>0.2417888888888889</v>
      </c>
      <c r="H12" s="86">
        <f>+E12*('Machinery Cost'!F6+'Machinery Cost'!F12)</f>
        <v>0.20606833333333335</v>
      </c>
      <c r="I12" s="86">
        <f>+E12*('Machinery Cost'!G6+'Machinery Cost'!H6+'Machinery Cost'!I6+'Machinery Cost'!G12+'Machinery Cost'!H12+'Machinery Cost'!I12)</f>
        <v>0.076075</v>
      </c>
      <c r="J12" s="86">
        <f>+G12+H12+I12</f>
        <v>0.5239322222222222</v>
      </c>
      <c r="K12" s="86">
        <f>+E12*('Machinery Cost'!K6+'Machinery Cost'!L6+'Machinery Cost'!K12+'Machinery Cost'!L12)</f>
        <v>0.8517124999999999</v>
      </c>
      <c r="L12" s="86">
        <v>0.6</v>
      </c>
      <c r="M12" s="86">
        <v>0</v>
      </c>
      <c r="N12" s="86">
        <f>+'Year 5 IS'!E12</f>
        <v>4.68</v>
      </c>
      <c r="O12" s="86">
        <f>(SUM(K12:N12))*(2/12)*'Basic Input Costs'!C$49</f>
        <v>0.07920128645833331</v>
      </c>
      <c r="P12" s="86">
        <f t="shared" si="0"/>
        <v>6.210913786458332</v>
      </c>
      <c r="Q12" s="86">
        <f t="shared" si="1"/>
        <v>6.734846008680554</v>
      </c>
    </row>
    <row r="13" spans="1:17" ht="12.75">
      <c r="A13" s="52" t="s">
        <v>127</v>
      </c>
      <c r="B13" s="85" t="s">
        <v>200</v>
      </c>
      <c r="C13" s="80" t="s">
        <v>76</v>
      </c>
      <c r="D13" s="80">
        <v>5</v>
      </c>
      <c r="E13" s="95">
        <v>0.15</v>
      </c>
      <c r="F13" s="95">
        <v>0.18</v>
      </c>
      <c r="G13" s="86">
        <f>+E13*('Machinery Cost'!E6+'Machinery Cost'!E12)</f>
        <v>0.7253666666666666</v>
      </c>
      <c r="H13" s="86">
        <f>+E13*('Machinery Cost'!F6+'Machinery Cost'!F12)</f>
        <v>0.618205</v>
      </c>
      <c r="I13" s="86">
        <f>+E13*('Machinery Cost'!G6+'Machinery Cost'!H6+'Machinery Cost'!I6+'Machinery Cost'!G12+'Machinery Cost'!H12+'Machinery Cost'!I12)</f>
        <v>0.228225</v>
      </c>
      <c r="J13" s="86">
        <f>+G13+H13+I13</f>
        <v>1.5717966666666667</v>
      </c>
      <c r="K13" s="86">
        <f>+E13*('Machinery Cost'!K6+'Machinery Cost'!L6+'Machinery Cost'!K12+'Machinery Cost'!L12)</f>
        <v>2.5551374999999994</v>
      </c>
      <c r="L13" s="86">
        <f>+F13*'Basic Input Costs'!C$46</f>
        <v>2.52</v>
      </c>
      <c r="M13" s="86">
        <v>0</v>
      </c>
      <c r="N13" s="86">
        <f>+'Year 5 IS'!E16+'Year 5 IS'!E17</f>
        <v>15.45</v>
      </c>
      <c r="O13" s="86">
        <v>0</v>
      </c>
      <c r="P13" s="86">
        <f t="shared" si="0"/>
        <v>20.5251375</v>
      </c>
      <c r="Q13" s="86">
        <f t="shared" si="1"/>
        <v>22.096934166666667</v>
      </c>
    </row>
    <row r="14" spans="1:17" ht="12.75">
      <c r="A14" s="52" t="s">
        <v>47</v>
      </c>
      <c r="B14" s="85" t="s">
        <v>62</v>
      </c>
      <c r="C14" s="80" t="s">
        <v>76</v>
      </c>
      <c r="D14" s="80">
        <v>5</v>
      </c>
      <c r="E14" s="102">
        <v>0</v>
      </c>
      <c r="F14" s="95">
        <v>0</v>
      </c>
      <c r="G14" s="86"/>
      <c r="H14" s="86"/>
      <c r="I14" s="86"/>
      <c r="J14" s="86">
        <v>0</v>
      </c>
      <c r="K14" s="86">
        <v>0</v>
      </c>
      <c r="L14" s="86">
        <f>+F14*'Basic Input Costs'!C$46</f>
        <v>0</v>
      </c>
      <c r="M14" s="86">
        <f>+'Year 5 IS'!C18</f>
        <v>7.5</v>
      </c>
      <c r="N14" s="86">
        <f>+'Year 5 IS'!E19</f>
        <v>68.39999999999999</v>
      </c>
      <c r="O14" s="86">
        <v>0</v>
      </c>
      <c r="P14" s="86">
        <f t="shared" si="0"/>
        <v>75.89999999999999</v>
      </c>
      <c r="Q14" s="86">
        <f t="shared" si="1"/>
        <v>75.89999999999999</v>
      </c>
    </row>
    <row r="15" spans="1:17" ht="12.75">
      <c r="A15" s="52" t="s">
        <v>120</v>
      </c>
      <c r="B15" s="85" t="s">
        <v>128</v>
      </c>
      <c r="C15" s="80" t="s">
        <v>131</v>
      </c>
      <c r="D15" s="80">
        <v>5</v>
      </c>
      <c r="E15" s="95">
        <v>0</v>
      </c>
      <c r="F15" s="95">
        <v>0</v>
      </c>
      <c r="G15" s="86"/>
      <c r="H15" s="86"/>
      <c r="I15" s="86"/>
      <c r="J15" s="86">
        <v>0</v>
      </c>
      <c r="K15" s="86">
        <v>0</v>
      </c>
      <c r="L15" s="86">
        <f>+F15*'Basic Input Costs'!C$46</f>
        <v>0</v>
      </c>
      <c r="M15" s="86">
        <f>+'Year 5 IS'!C8</f>
        <v>7.5</v>
      </c>
      <c r="N15" s="86">
        <f>+'Year 5 IS'!E9+'Year 5 IS'!E10</f>
        <v>27.906800000000004</v>
      </c>
      <c r="O15" s="86">
        <f>(SUM(K15:N15))*(11/12)*'Basic Input Costs'!C$49</f>
        <v>2.5153580833333335</v>
      </c>
      <c r="P15" s="86">
        <f>SUM(K15:O15)</f>
        <v>37.922158083333336</v>
      </c>
      <c r="Q15" s="86">
        <f>+P15+J15</f>
        <v>37.922158083333336</v>
      </c>
    </row>
    <row r="16" spans="1:17" ht="12.75">
      <c r="A16" s="52" t="s">
        <v>55</v>
      </c>
      <c r="B16" s="88" t="s">
        <v>68</v>
      </c>
      <c r="C16" s="80" t="s">
        <v>77</v>
      </c>
      <c r="D16" s="80">
        <v>5</v>
      </c>
      <c r="E16" s="95">
        <v>0</v>
      </c>
      <c r="F16" s="95">
        <v>0</v>
      </c>
      <c r="G16" s="86"/>
      <c r="H16" s="86"/>
      <c r="I16" s="86"/>
      <c r="J16" s="86">
        <f>+'Basic Input Costs'!C48*'Year 6-15 IS '!E5</f>
        <v>234.5</v>
      </c>
      <c r="K16" s="86">
        <f>+E16*('Machinery Cost'!K15+'Machinery Cost'!L15)</f>
        <v>0</v>
      </c>
      <c r="L16" s="86">
        <f>+F16*'Basic Input Costs'!C$46</f>
        <v>0</v>
      </c>
      <c r="M16" s="86">
        <v>0</v>
      </c>
      <c r="N16" s="86">
        <v>0</v>
      </c>
      <c r="O16" s="86">
        <v>0</v>
      </c>
      <c r="P16" s="86">
        <f t="shared" si="0"/>
        <v>0</v>
      </c>
      <c r="Q16" s="86">
        <f t="shared" si="1"/>
        <v>234.5</v>
      </c>
    </row>
    <row r="17" spans="1:17" ht="12.75">
      <c r="A17" s="52" t="s">
        <v>31</v>
      </c>
      <c r="B17" s="85" t="s">
        <v>69</v>
      </c>
      <c r="C17" s="80" t="s">
        <v>77</v>
      </c>
      <c r="D17" s="80">
        <v>5</v>
      </c>
      <c r="E17" s="95">
        <v>1.8</v>
      </c>
      <c r="F17" s="95">
        <v>0</v>
      </c>
      <c r="G17" s="86">
        <f>+E17*('Machinery Cost'!E15)</f>
        <v>15.75</v>
      </c>
      <c r="H17" s="86">
        <f>+E17*'Machinery Cost'!F15</f>
        <v>6.51</v>
      </c>
      <c r="I17" s="86">
        <f>+'Machinery Cost'!G15+'Machinery Cost'!H15+'Machinery Cost'!I15</f>
        <v>1.5513333333333335</v>
      </c>
      <c r="J17" s="86">
        <f>+G17+H17+I17</f>
        <v>23.81133333333333</v>
      </c>
      <c r="K17" s="86">
        <f>+E17*('Machinery Cost'!K15+'Machinery Cost'!L15)</f>
        <v>27.256800000000002</v>
      </c>
      <c r="L17" s="86">
        <f>+F17*'Basic Input Costs'!C$46</f>
        <v>0</v>
      </c>
      <c r="M17" s="86">
        <v>0</v>
      </c>
      <c r="N17" s="86">
        <v>0</v>
      </c>
      <c r="O17" s="86">
        <f>(SUM(K17:N17))*(6/12)*'Basic Input Costs'!C$49</f>
        <v>1.0562010000000002</v>
      </c>
      <c r="P17" s="86">
        <f t="shared" si="0"/>
        <v>28.313001000000003</v>
      </c>
      <c r="Q17" s="86">
        <f t="shared" si="1"/>
        <v>52.12433433333334</v>
      </c>
    </row>
    <row r="18" spans="1:17" ht="12.75">
      <c r="A18" s="52" t="s">
        <v>56</v>
      </c>
      <c r="B18" s="85" t="s">
        <v>69</v>
      </c>
      <c r="C18" s="80" t="s">
        <v>77</v>
      </c>
      <c r="D18" s="80">
        <v>5</v>
      </c>
      <c r="E18" s="95">
        <v>3</v>
      </c>
      <c r="F18" s="95">
        <v>0</v>
      </c>
      <c r="G18" s="86">
        <f>+E18*'Machinery Cost'!E14</f>
        <v>23.076923076923077</v>
      </c>
      <c r="H18" s="86">
        <f>+E18*'Machinery Cost'!F14</f>
        <v>8.076923076923077</v>
      </c>
      <c r="I18" s="86">
        <f>+E18*('Machinery Cost'!G14+'Machinery Cost'!H14+'Machinery Cost'!I14)</f>
        <v>2.5200000000000005</v>
      </c>
      <c r="J18" s="86">
        <f>+G18+H18+I18</f>
        <v>33.673846153846156</v>
      </c>
      <c r="K18" s="86">
        <f>+E18*('Machinery Cost'!K14+'Machinery Cost'!L14)</f>
        <v>39.98307692307692</v>
      </c>
      <c r="L18" s="86">
        <f>+F18*'Basic Input Costs'!C$46</f>
        <v>0</v>
      </c>
      <c r="M18" s="86">
        <v>0</v>
      </c>
      <c r="N18" s="86">
        <v>0</v>
      </c>
      <c r="O18" s="86">
        <f>(SUM(K18:N18))*(6/12)*'Basic Input Costs'!C$49</f>
        <v>1.5493442307692307</v>
      </c>
      <c r="P18" s="86">
        <f t="shared" si="0"/>
        <v>41.53242115384615</v>
      </c>
      <c r="Q18" s="86">
        <f t="shared" si="1"/>
        <v>75.20626730769231</v>
      </c>
    </row>
    <row r="19" spans="1:17" ht="12.75">
      <c r="A19" s="52" t="s">
        <v>14</v>
      </c>
      <c r="B19" s="85" t="s">
        <v>140</v>
      </c>
      <c r="C19" s="80" t="s">
        <v>77</v>
      </c>
      <c r="D19" s="80">
        <v>5</v>
      </c>
      <c r="E19" s="95">
        <v>0</v>
      </c>
      <c r="F19" s="95">
        <v>0</v>
      </c>
      <c r="G19" s="86"/>
      <c r="H19" s="86"/>
      <c r="I19" s="86"/>
      <c r="J19" s="86">
        <f>+'Basic Input Costs'!F62</f>
        <v>405.8102500049368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f t="shared" si="1"/>
        <v>405.8102500049368</v>
      </c>
    </row>
    <row r="20" spans="1:17" ht="12.75">
      <c r="A20" s="52" t="s">
        <v>57</v>
      </c>
      <c r="B20" s="85" t="s">
        <v>237</v>
      </c>
      <c r="C20" s="80" t="s">
        <v>77</v>
      </c>
      <c r="D20" s="80">
        <v>5</v>
      </c>
      <c r="E20" s="95">
        <v>0</v>
      </c>
      <c r="F20" s="95">
        <v>0</v>
      </c>
      <c r="G20" s="86"/>
      <c r="H20" s="86"/>
      <c r="I20" s="86"/>
      <c r="J20" s="86">
        <f>+'Year 5 IS'!C35</f>
        <v>566.6666666666666</v>
      </c>
      <c r="K20" s="86">
        <v>0</v>
      </c>
      <c r="L20" s="86">
        <f>+F20*'Basic Input Costs'!C$46</f>
        <v>0</v>
      </c>
      <c r="M20" s="86">
        <v>0</v>
      </c>
      <c r="N20" s="86">
        <v>0</v>
      </c>
      <c r="O20" s="86">
        <f>(SUM(K20:N20))*(6/12)*'Basic Input Costs'!C$49</f>
        <v>0</v>
      </c>
      <c r="P20" s="86">
        <f>SUM(K20:O20)</f>
        <v>0</v>
      </c>
      <c r="Q20" s="86">
        <f t="shared" si="1"/>
        <v>566.6666666666666</v>
      </c>
    </row>
    <row r="21" spans="1:17" ht="12.75">
      <c r="A21" s="52" t="s">
        <v>40</v>
      </c>
      <c r="B21" s="85" t="s">
        <v>192</v>
      </c>
      <c r="C21" s="80" t="s">
        <v>77</v>
      </c>
      <c r="D21" s="80">
        <v>5</v>
      </c>
      <c r="E21" s="95">
        <v>0</v>
      </c>
      <c r="F21" s="95">
        <v>0</v>
      </c>
      <c r="G21" s="86"/>
      <c r="H21" s="86"/>
      <c r="I21" s="86"/>
      <c r="J21" s="86">
        <f>+'Basic Input Costs'!C45</f>
        <v>152.15</v>
      </c>
      <c r="K21" s="86">
        <v>0</v>
      </c>
      <c r="L21" s="86">
        <f>+F21*'Basic Input Costs'!C$46</f>
        <v>0</v>
      </c>
      <c r="M21" s="86">
        <v>0</v>
      </c>
      <c r="N21" s="86">
        <v>0</v>
      </c>
      <c r="O21" s="86">
        <f>(SUM(K21:N21))*(6/12)*'Basic Input Costs'!C$49</f>
        <v>0</v>
      </c>
      <c r="P21" s="86">
        <f>SUM(K21:O21)</f>
        <v>0</v>
      </c>
      <c r="Q21" s="86">
        <f t="shared" si="1"/>
        <v>152.15</v>
      </c>
    </row>
    <row r="22" spans="1:17" ht="12.75">
      <c r="A22" s="52" t="s">
        <v>40</v>
      </c>
      <c r="B22" s="85" t="s">
        <v>189</v>
      </c>
      <c r="C22" s="80" t="s">
        <v>77</v>
      </c>
      <c r="D22" s="80">
        <v>3</v>
      </c>
      <c r="E22" s="95">
        <v>0</v>
      </c>
      <c r="F22" s="95">
        <v>0</v>
      </c>
      <c r="G22" s="86"/>
      <c r="H22" s="86"/>
      <c r="I22" s="86"/>
      <c r="J22" s="86">
        <f>+L24*'Basic Input Costs'!C47</f>
        <v>263.5272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f t="shared" si="1"/>
        <v>263.5272</v>
      </c>
    </row>
    <row r="23" spans="1:17" s="15" customFormat="1" ht="15.75" customHeight="1" thickBot="1">
      <c r="A23" s="79" t="s">
        <v>58</v>
      </c>
      <c r="B23" s="89" t="s">
        <v>71</v>
      </c>
      <c r="C23" s="90" t="s">
        <v>77</v>
      </c>
      <c r="D23" s="80">
        <v>5</v>
      </c>
      <c r="E23" s="97">
        <v>0</v>
      </c>
      <c r="F23" s="97">
        <v>0</v>
      </c>
      <c r="G23" s="91"/>
      <c r="H23" s="91"/>
      <c r="I23" s="91"/>
      <c r="J23" s="91">
        <v>0</v>
      </c>
      <c r="K23" s="91">
        <v>0</v>
      </c>
      <c r="L23" s="91">
        <f>+F23*'Basic Input Costs'!C$46</f>
        <v>0</v>
      </c>
      <c r="M23" s="91">
        <v>0</v>
      </c>
      <c r="N23" s="91">
        <f>+'Year 5 IS'!E25</f>
        <v>60</v>
      </c>
      <c r="O23" s="91">
        <f>(SUM(K23:N23))*(6/12)*'Basic Input Costs'!C$49</f>
        <v>2.325</v>
      </c>
      <c r="P23" s="91">
        <f>SUM(K23:O23)</f>
        <v>62.325</v>
      </c>
      <c r="Q23" s="91">
        <f t="shared" si="1"/>
        <v>62.325</v>
      </c>
    </row>
    <row r="24" spans="1:17" ht="18" customHeight="1" thickBot="1">
      <c r="A24" s="92" t="s">
        <v>72</v>
      </c>
      <c r="B24" s="93" t="s">
        <v>72</v>
      </c>
      <c r="C24" s="92"/>
      <c r="D24" s="92"/>
      <c r="E24" s="94">
        <f aca="true" t="shared" si="2" ref="E24:Q24">SUM(E5:E23)</f>
        <v>6.65</v>
      </c>
      <c r="F24" s="94">
        <f t="shared" si="2"/>
        <v>6.14</v>
      </c>
      <c r="G24" s="94">
        <f>SUM(G5:G23)</f>
        <v>125.97460307692309</v>
      </c>
      <c r="H24" s="94">
        <f>SUM(H5:H23)</f>
        <v>100.76811841025643</v>
      </c>
      <c r="I24" s="94">
        <f>SUM(I5:I23)</f>
        <v>13.090641000000002</v>
      </c>
      <c r="J24" s="94">
        <f t="shared" si="2"/>
        <v>1862.4874791587831</v>
      </c>
      <c r="K24" s="94">
        <f t="shared" si="2"/>
        <v>129.50239603846154</v>
      </c>
      <c r="L24" s="94">
        <f t="shared" si="2"/>
        <v>1550.1599999999999</v>
      </c>
      <c r="M24" s="94">
        <f t="shared" si="2"/>
        <v>15</v>
      </c>
      <c r="N24" s="94">
        <f t="shared" si="2"/>
        <v>294.03679999999997</v>
      </c>
      <c r="O24" s="94">
        <f t="shared" si="2"/>
        <v>34.358426315697116</v>
      </c>
      <c r="P24" s="94">
        <f t="shared" si="2"/>
        <v>2023.0576223541589</v>
      </c>
      <c r="Q24" s="94">
        <f t="shared" si="2"/>
        <v>3885.545101512941</v>
      </c>
    </row>
    <row r="25" spans="5:9" ht="12.75">
      <c r="E25" s="10"/>
      <c r="F25" s="10"/>
      <c r="G25" s="10"/>
      <c r="H25" s="10"/>
      <c r="I25" s="10"/>
    </row>
    <row r="26" spans="5:9" ht="12.75">
      <c r="E26" s="10"/>
      <c r="F26" s="10"/>
      <c r="G26" s="10"/>
      <c r="H26" s="10"/>
      <c r="I26" s="10"/>
    </row>
  </sheetData>
  <sheetProtection/>
  <mergeCells count="1">
    <mergeCell ref="A1:Q1"/>
  </mergeCells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Footer>&amp;L&amp;Z&amp;F&amp;R&amp;D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1.28125" style="0" customWidth="1"/>
    <col min="2" max="2" width="9.140625" style="1" customWidth="1"/>
    <col min="3" max="3" width="9.8515625" style="0" customWidth="1"/>
    <col min="4" max="4" width="10.57421875" style="0" customWidth="1"/>
    <col min="5" max="5" width="10.421875" style="0" customWidth="1"/>
  </cols>
  <sheetData>
    <row r="1" spans="1:5" s="15" customFormat="1" ht="18" customHeight="1" thickBot="1">
      <c r="A1" s="125" t="s">
        <v>303</v>
      </c>
      <c r="B1" s="125"/>
      <c r="C1" s="125"/>
      <c r="D1" s="125"/>
      <c r="E1" s="125"/>
    </row>
    <row r="2" spans="1:5" ht="12.75">
      <c r="A2" s="52"/>
      <c r="B2" s="80"/>
      <c r="C2" s="80" t="s">
        <v>82</v>
      </c>
      <c r="D2" s="80"/>
      <c r="E2" s="80" t="s">
        <v>85</v>
      </c>
    </row>
    <row r="3" spans="1:5" ht="13.5" thickBot="1">
      <c r="A3" s="82"/>
      <c r="B3" s="83" t="s">
        <v>81</v>
      </c>
      <c r="C3" s="83" t="s">
        <v>83</v>
      </c>
      <c r="D3" s="83" t="s">
        <v>84</v>
      </c>
      <c r="E3" s="83" t="s">
        <v>9</v>
      </c>
    </row>
    <row r="4" spans="1:5" ht="12.75">
      <c r="A4" s="98" t="s">
        <v>141</v>
      </c>
      <c r="B4" s="99"/>
      <c r="C4" s="99"/>
      <c r="D4" s="99"/>
      <c r="E4" s="99"/>
    </row>
    <row r="5" spans="1:5" ht="12.75">
      <c r="A5" s="98" t="s">
        <v>142</v>
      </c>
      <c r="B5" s="99" t="s">
        <v>105</v>
      </c>
      <c r="C5" s="100">
        <f>+'Basic Input Costs'!G5</f>
        <v>0.67</v>
      </c>
      <c r="D5" s="101">
        <f>+'Basic Input Costs'!G6</f>
        <v>6000</v>
      </c>
      <c r="E5" s="101">
        <f>+D5*C5</f>
        <v>4020.0000000000005</v>
      </c>
    </row>
    <row r="6" spans="1:5" ht="12.75">
      <c r="A6" s="98"/>
      <c r="B6" s="99"/>
      <c r="C6" s="99"/>
      <c r="D6" s="99"/>
      <c r="E6" s="99"/>
    </row>
    <row r="7" spans="1:5" ht="12.75">
      <c r="A7" s="52" t="s">
        <v>80</v>
      </c>
      <c r="B7" s="80"/>
      <c r="C7" s="52"/>
      <c r="D7" s="52"/>
      <c r="E7" s="52"/>
    </row>
    <row r="8" spans="1:5" ht="12.75">
      <c r="A8" s="52" t="s">
        <v>92</v>
      </c>
      <c r="B8" s="80" t="s">
        <v>103</v>
      </c>
      <c r="C8" s="86">
        <f>+'Basic Input Costs'!C34</f>
        <v>7.5</v>
      </c>
      <c r="D8" s="95">
        <v>1</v>
      </c>
      <c r="E8" s="86">
        <f aca="true" t="shared" si="0" ref="E8:E25">+D8*C8</f>
        <v>7.5</v>
      </c>
    </row>
    <row r="9" spans="1:5" ht="12.75">
      <c r="A9" s="52" t="s">
        <v>93</v>
      </c>
      <c r="B9" s="80" t="s">
        <v>106</v>
      </c>
      <c r="C9" s="86">
        <f>+'Basic Input Costs'!C16</f>
        <v>147.36</v>
      </c>
      <c r="D9" s="95">
        <v>0.13</v>
      </c>
      <c r="E9" s="86">
        <f t="shared" si="0"/>
        <v>19.156800000000004</v>
      </c>
    </row>
    <row r="10" spans="1:5" ht="12.75">
      <c r="A10" s="52" t="s">
        <v>94</v>
      </c>
      <c r="B10" s="80" t="s">
        <v>106</v>
      </c>
      <c r="C10" s="86">
        <f>+'Basic Input Costs'!C17</f>
        <v>35</v>
      </c>
      <c r="D10" s="95">
        <v>0.25</v>
      </c>
      <c r="E10" s="86">
        <f t="shared" si="0"/>
        <v>8.75</v>
      </c>
    </row>
    <row r="11" spans="1:5" ht="12.75">
      <c r="A11" s="52" t="s">
        <v>132</v>
      </c>
      <c r="B11" s="80" t="s">
        <v>106</v>
      </c>
      <c r="C11" s="86">
        <f>+'Basic Input Costs'!C18</f>
        <v>20</v>
      </c>
      <c r="D11" s="95">
        <v>0.38</v>
      </c>
      <c r="E11" s="86">
        <f t="shared" si="0"/>
        <v>7.6</v>
      </c>
    </row>
    <row r="12" spans="1:5" ht="12.75">
      <c r="A12" s="52" t="s">
        <v>191</v>
      </c>
      <c r="B12" s="80" t="s">
        <v>106</v>
      </c>
      <c r="C12" s="86">
        <f>+'Basic Input Costs'!C13</f>
        <v>36</v>
      </c>
      <c r="D12" s="95">
        <v>0.13</v>
      </c>
      <c r="E12" s="86">
        <f t="shared" si="0"/>
        <v>4.68</v>
      </c>
    </row>
    <row r="13" spans="1:5" ht="12.75">
      <c r="A13" s="52" t="s">
        <v>186</v>
      </c>
      <c r="B13" s="80" t="s">
        <v>105</v>
      </c>
      <c r="C13" s="86">
        <f>+'Basic Input Costs'!C25</f>
        <v>0.22</v>
      </c>
      <c r="D13" s="108">
        <f>+D5</f>
        <v>6000</v>
      </c>
      <c r="E13" s="86">
        <f t="shared" si="0"/>
        <v>1320</v>
      </c>
    </row>
    <row r="14" spans="1:5" ht="12.75">
      <c r="A14" s="52" t="s">
        <v>187</v>
      </c>
      <c r="B14" s="80" t="s">
        <v>105</v>
      </c>
      <c r="C14" s="86">
        <f>+'Basic Input Costs'!C26</f>
        <v>0.01</v>
      </c>
      <c r="D14" s="108">
        <f>+D5</f>
        <v>6000</v>
      </c>
      <c r="E14" s="86">
        <f t="shared" si="0"/>
        <v>60</v>
      </c>
    </row>
    <row r="15" spans="1:5" ht="12.75">
      <c r="A15" s="52" t="s">
        <v>188</v>
      </c>
      <c r="B15" s="80" t="s">
        <v>105</v>
      </c>
      <c r="C15" s="86">
        <f>+'Basic Input Costs'!C27</f>
        <v>0.02</v>
      </c>
      <c r="D15" s="108">
        <f>+D5</f>
        <v>6000</v>
      </c>
      <c r="E15" s="86">
        <f t="shared" si="0"/>
        <v>120</v>
      </c>
    </row>
    <row r="16" spans="1:5" ht="12.75">
      <c r="A16" s="52" t="s">
        <v>133</v>
      </c>
      <c r="B16" s="80" t="s">
        <v>105</v>
      </c>
      <c r="C16" s="86">
        <f>+'Basic Input Costs'!C19</f>
        <v>6.05</v>
      </c>
      <c r="D16" s="95">
        <v>1.2</v>
      </c>
      <c r="E16" s="86">
        <f t="shared" si="0"/>
        <v>7.26</v>
      </c>
    </row>
    <row r="17" spans="1:5" ht="12.75">
      <c r="A17" s="52" t="s">
        <v>134</v>
      </c>
      <c r="B17" s="80" t="s">
        <v>105</v>
      </c>
      <c r="C17" s="86">
        <f>+'Basic Input Costs'!C20</f>
        <v>13</v>
      </c>
      <c r="D17" s="95">
        <v>0.63</v>
      </c>
      <c r="E17" s="86">
        <f t="shared" si="0"/>
        <v>8.19</v>
      </c>
    </row>
    <row r="18" spans="1:5" ht="12.75">
      <c r="A18" s="52" t="s">
        <v>135</v>
      </c>
      <c r="B18" s="80" t="s">
        <v>103</v>
      </c>
      <c r="C18" s="86">
        <f>+'Basic Input Costs'!C33</f>
        <v>7.5</v>
      </c>
      <c r="D18" s="95">
        <v>1</v>
      </c>
      <c r="E18" s="86">
        <f t="shared" si="0"/>
        <v>7.5</v>
      </c>
    </row>
    <row r="19" spans="1:5" ht="12.75">
      <c r="A19" s="52" t="s">
        <v>89</v>
      </c>
      <c r="B19" s="80" t="s">
        <v>105</v>
      </c>
      <c r="C19" s="86">
        <f>+'Basic Input Costs'!C10</f>
        <v>0.57</v>
      </c>
      <c r="D19" s="95">
        <v>120</v>
      </c>
      <c r="E19" s="86">
        <f t="shared" si="0"/>
        <v>68.39999999999999</v>
      </c>
    </row>
    <row r="20" spans="1:5" ht="12.75">
      <c r="A20" s="52" t="s">
        <v>190</v>
      </c>
      <c r="B20" s="80" t="s">
        <v>103</v>
      </c>
      <c r="C20" s="86">
        <f>+'Basic Input Costs'!C38</f>
        <v>60</v>
      </c>
      <c r="D20" s="95">
        <v>1</v>
      </c>
      <c r="E20" s="86">
        <f t="shared" si="0"/>
        <v>60</v>
      </c>
    </row>
    <row r="21" spans="1:5" ht="12.75">
      <c r="A21" s="52" t="s">
        <v>96</v>
      </c>
      <c r="B21" s="80" t="s">
        <v>103</v>
      </c>
      <c r="C21" s="86">
        <f>+'Basic Input Costs'!C39</f>
        <v>50</v>
      </c>
      <c r="D21" s="95">
        <v>1</v>
      </c>
      <c r="E21" s="86">
        <f t="shared" si="0"/>
        <v>50</v>
      </c>
    </row>
    <row r="22" spans="1:5" ht="12.75">
      <c r="A22" s="52" t="s">
        <v>217</v>
      </c>
      <c r="B22" s="80" t="s">
        <v>103</v>
      </c>
      <c r="C22" s="86">
        <f>+'Year 5 SOP'!K24</f>
        <v>129.50239603846154</v>
      </c>
      <c r="D22" s="95">
        <v>1</v>
      </c>
      <c r="E22" s="86">
        <f t="shared" si="0"/>
        <v>129.50239603846154</v>
      </c>
    </row>
    <row r="23" spans="1:5" ht="12.75">
      <c r="A23" s="52" t="s">
        <v>137</v>
      </c>
      <c r="B23" s="80" t="s">
        <v>103</v>
      </c>
      <c r="C23" s="86">
        <f>+'Year 5 SOP'!L24-'Year 5 SOP'!L11-'Year 5 SOP'!L10-'Year 5 SOP'!L9</f>
        <v>50.159999999999854</v>
      </c>
      <c r="D23" s="95">
        <v>1</v>
      </c>
      <c r="E23" s="86">
        <f t="shared" si="0"/>
        <v>50.159999999999854</v>
      </c>
    </row>
    <row r="24" spans="1:5" ht="12.75">
      <c r="A24" s="52" t="s">
        <v>97</v>
      </c>
      <c r="B24" s="80" t="s">
        <v>103</v>
      </c>
      <c r="C24" s="86">
        <f>+'Year 5 SOP'!O24</f>
        <v>34.358426315697116</v>
      </c>
      <c r="D24" s="95">
        <v>1</v>
      </c>
      <c r="E24" s="86">
        <f t="shared" si="0"/>
        <v>34.358426315697116</v>
      </c>
    </row>
    <row r="25" spans="1:5" ht="12.75">
      <c r="A25" s="52" t="s">
        <v>58</v>
      </c>
      <c r="B25" s="80" t="s">
        <v>103</v>
      </c>
      <c r="C25" s="86">
        <f>+'Basic Input Costs'!C42</f>
        <v>60</v>
      </c>
      <c r="D25" s="95">
        <v>1</v>
      </c>
      <c r="E25" s="86">
        <f t="shared" si="0"/>
        <v>60</v>
      </c>
    </row>
    <row r="26" spans="1:5" ht="12.75">
      <c r="A26" s="52"/>
      <c r="B26" s="80"/>
      <c r="C26" s="86"/>
      <c r="D26" s="86"/>
      <c r="E26" s="86"/>
    </row>
    <row r="27" spans="1:5" ht="12.75">
      <c r="A27" s="52" t="s">
        <v>98</v>
      </c>
      <c r="B27" s="80"/>
      <c r="C27" s="86"/>
      <c r="D27" s="86"/>
      <c r="E27" s="86">
        <f>SUM(E8:E25)</f>
        <v>2023.0576223541586</v>
      </c>
    </row>
    <row r="28" spans="1:5" ht="12.75">
      <c r="A28" s="52"/>
      <c r="B28" s="80"/>
      <c r="C28" s="86"/>
      <c r="D28" s="86"/>
      <c r="E28" s="86"/>
    </row>
    <row r="29" spans="1:5" ht="12.75">
      <c r="A29" s="52" t="s">
        <v>99</v>
      </c>
      <c r="B29" s="80"/>
      <c r="C29" s="86"/>
      <c r="D29" s="86"/>
      <c r="E29" s="86"/>
    </row>
    <row r="30" spans="1:5" ht="12.75">
      <c r="A30" s="52" t="s">
        <v>100</v>
      </c>
      <c r="B30" s="80" t="s">
        <v>103</v>
      </c>
      <c r="C30" s="86">
        <f>+'Year 5 SOP'!G24</f>
        <v>125.97460307692309</v>
      </c>
      <c r="D30" s="95">
        <v>1</v>
      </c>
      <c r="E30" s="86">
        <f>+D30*C30</f>
        <v>125.97460307692309</v>
      </c>
    </row>
    <row r="31" spans="1:5" ht="12.75">
      <c r="A31" s="52" t="s">
        <v>101</v>
      </c>
      <c r="B31" s="80" t="s">
        <v>103</v>
      </c>
      <c r="C31" s="86">
        <f>+'Year 5 SOP'!H24</f>
        <v>100.76811841025643</v>
      </c>
      <c r="D31" s="95">
        <v>1</v>
      </c>
      <c r="E31" s="86">
        <f aca="true" t="shared" si="1" ref="E31:E37">+D31*C31</f>
        <v>100.76811841025643</v>
      </c>
    </row>
    <row r="32" spans="1:5" ht="12.75">
      <c r="A32" s="52" t="s">
        <v>102</v>
      </c>
      <c r="B32" s="80" t="s">
        <v>103</v>
      </c>
      <c r="C32" s="86">
        <f>+'Year 5 SOP'!I24</f>
        <v>13.090641000000002</v>
      </c>
      <c r="D32" s="95">
        <v>1</v>
      </c>
      <c r="E32" s="86">
        <f t="shared" si="1"/>
        <v>13.090641000000002</v>
      </c>
    </row>
    <row r="33" spans="1:5" ht="12.75">
      <c r="A33" s="52" t="s">
        <v>107</v>
      </c>
      <c r="B33" s="80" t="s">
        <v>103</v>
      </c>
      <c r="C33" s="86">
        <f>+'Basic Input Costs'!C45</f>
        <v>152.15</v>
      </c>
      <c r="D33" s="95">
        <v>1</v>
      </c>
      <c r="E33" s="86">
        <f t="shared" si="1"/>
        <v>152.15</v>
      </c>
    </row>
    <row r="34" spans="1:5" ht="12.75">
      <c r="A34" s="52" t="s">
        <v>189</v>
      </c>
      <c r="B34" s="80" t="s">
        <v>103</v>
      </c>
      <c r="C34" s="86">
        <f>+'Year 5 SOP'!J22</f>
        <v>263.5272</v>
      </c>
      <c r="D34" s="95">
        <v>1</v>
      </c>
      <c r="E34" s="86">
        <f t="shared" si="1"/>
        <v>263.5272</v>
      </c>
    </row>
    <row r="35" spans="1:5" ht="12.75">
      <c r="A35" s="85" t="s">
        <v>237</v>
      </c>
      <c r="B35" s="80" t="s">
        <v>103</v>
      </c>
      <c r="C35" s="86">
        <f>+'Basic Input Costs'!C43</f>
        <v>566.6666666666666</v>
      </c>
      <c r="D35" s="95">
        <v>1</v>
      </c>
      <c r="E35" s="86">
        <f t="shared" si="1"/>
        <v>566.6666666666666</v>
      </c>
    </row>
    <row r="36" spans="1:5" ht="12.75">
      <c r="A36" s="52" t="s">
        <v>55</v>
      </c>
      <c r="B36" s="80" t="s">
        <v>103</v>
      </c>
      <c r="C36" s="86">
        <f>+'Year 5 SOP'!J16</f>
        <v>234.5</v>
      </c>
      <c r="D36" s="95">
        <v>1</v>
      </c>
      <c r="E36" s="86">
        <f t="shared" si="1"/>
        <v>234.5</v>
      </c>
    </row>
    <row r="37" spans="1:5" ht="12.75">
      <c r="A37" s="52" t="s">
        <v>139</v>
      </c>
      <c r="B37" s="80" t="s">
        <v>103</v>
      </c>
      <c r="C37" s="86">
        <f>+'Year 5 SOP'!J19</f>
        <v>405.8102500049368</v>
      </c>
      <c r="D37" s="95">
        <v>1</v>
      </c>
      <c r="E37" s="86">
        <f t="shared" si="1"/>
        <v>405.8102500049368</v>
      </c>
    </row>
    <row r="38" spans="1:5" ht="12.75">
      <c r="A38" s="52"/>
      <c r="B38" s="80"/>
      <c r="C38" s="86"/>
      <c r="D38" s="86"/>
      <c r="E38" s="86"/>
    </row>
    <row r="39" spans="1:5" ht="12.75">
      <c r="A39" s="52" t="s">
        <v>109</v>
      </c>
      <c r="B39" s="80"/>
      <c r="C39" s="86"/>
      <c r="D39" s="86"/>
      <c r="E39" s="86">
        <f>SUM(E30:E37)</f>
        <v>1862.487479158783</v>
      </c>
    </row>
    <row r="40" spans="1:5" ht="12.75">
      <c r="A40" s="52"/>
      <c r="B40" s="80"/>
      <c r="C40" s="86"/>
      <c r="D40" s="86"/>
      <c r="E40" s="86"/>
    </row>
    <row r="41" spans="1:5" ht="12.75">
      <c r="A41" s="103" t="s">
        <v>108</v>
      </c>
      <c r="B41" s="80"/>
      <c r="C41" s="86"/>
      <c r="D41" s="86"/>
      <c r="E41" s="86">
        <f>+E39+E27</f>
        <v>3885.5451015129415</v>
      </c>
    </row>
    <row r="42" spans="1:5" ht="12.75">
      <c r="A42" s="103"/>
      <c r="B42" s="80"/>
      <c r="C42" s="86"/>
      <c r="D42" s="86"/>
      <c r="E42" s="86"/>
    </row>
    <row r="43" spans="1:5" ht="13.5" thickBot="1">
      <c r="A43" s="79" t="s">
        <v>144</v>
      </c>
      <c r="B43" s="90"/>
      <c r="C43" s="91"/>
      <c r="D43" s="91"/>
      <c r="E43" s="91">
        <f>+E5-E41</f>
        <v>134.45489848705893</v>
      </c>
    </row>
    <row r="46" s="15" customFormat="1" ht="18" customHeight="1"/>
  </sheetData>
  <sheetProtection/>
  <mergeCells count="1">
    <mergeCell ref="A1:E1"/>
  </mergeCells>
  <printOptions/>
  <pageMargins left="1.26" right="0.75" top="1" bottom="1" header="0.5" footer="0.5"/>
  <pageSetup horizontalDpi="600" verticalDpi="600" orientation="portrait" r:id="rId1"/>
  <headerFooter alignWithMargins="0">
    <oddFooter>&amp;L&amp;Z&amp;F&amp;R&amp;D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5.8515625" style="0" customWidth="1"/>
    <col min="2" max="2" width="26.57421875" style="0" customWidth="1"/>
    <col min="3" max="3" width="5.8515625" style="0" customWidth="1"/>
    <col min="4" max="4" width="6.140625" style="0" customWidth="1"/>
    <col min="5" max="5" width="8.421875" style="0" customWidth="1"/>
    <col min="6" max="6" width="7.7109375" style="0" customWidth="1"/>
    <col min="7" max="9" width="7.7109375" style="0" hidden="1" customWidth="1"/>
    <col min="10" max="14" width="9.140625" style="10" customWidth="1"/>
    <col min="15" max="15" width="8.57421875" style="10" customWidth="1"/>
    <col min="16" max="17" width="9.140625" style="10" customWidth="1"/>
  </cols>
  <sheetData>
    <row r="1" spans="1:17" ht="18" customHeight="1" thickBot="1">
      <c r="A1" s="124" t="s">
        <v>305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52"/>
      <c r="B2" s="80"/>
      <c r="C2" s="80"/>
      <c r="D2" s="80"/>
      <c r="E2" s="80"/>
      <c r="F2" s="80"/>
      <c r="G2" s="80"/>
      <c r="H2" s="80"/>
      <c r="I2" s="80" t="s">
        <v>212</v>
      </c>
      <c r="J2" s="81" t="s">
        <v>7</v>
      </c>
      <c r="K2" s="81" t="s">
        <v>10</v>
      </c>
      <c r="L2" s="81"/>
      <c r="M2" s="81"/>
      <c r="N2" s="81"/>
      <c r="O2" s="81"/>
      <c r="P2" s="81" t="s">
        <v>7</v>
      </c>
      <c r="Q2" s="81"/>
    </row>
    <row r="3" spans="1:17" ht="12.75">
      <c r="A3" s="52"/>
      <c r="B3" s="80"/>
      <c r="C3" s="80"/>
      <c r="D3" s="80"/>
      <c r="E3" s="80" t="s">
        <v>6</v>
      </c>
      <c r="F3" s="80" t="s">
        <v>4</v>
      </c>
      <c r="G3" s="80"/>
      <c r="H3" s="80"/>
      <c r="I3" s="80" t="s">
        <v>213</v>
      </c>
      <c r="J3" s="81" t="s">
        <v>8</v>
      </c>
      <c r="K3" s="81" t="s">
        <v>11</v>
      </c>
      <c r="L3" s="81"/>
      <c r="M3" s="81"/>
      <c r="N3" s="81"/>
      <c r="O3" s="81"/>
      <c r="P3" s="81" t="s">
        <v>15</v>
      </c>
      <c r="Q3" s="81" t="s">
        <v>7</v>
      </c>
    </row>
    <row r="4" spans="1:17" ht="13.5" thickBot="1">
      <c r="A4" s="82" t="s">
        <v>0</v>
      </c>
      <c r="B4" s="83" t="s">
        <v>1</v>
      </c>
      <c r="C4" s="83" t="s">
        <v>2</v>
      </c>
      <c r="D4" s="83" t="s">
        <v>3</v>
      </c>
      <c r="E4" s="83" t="s">
        <v>5</v>
      </c>
      <c r="F4" s="83" t="s">
        <v>5</v>
      </c>
      <c r="G4" s="83" t="s">
        <v>210</v>
      </c>
      <c r="H4" s="83" t="s">
        <v>211</v>
      </c>
      <c r="I4" s="83" t="s">
        <v>214</v>
      </c>
      <c r="J4" s="84" t="s">
        <v>9</v>
      </c>
      <c r="K4" s="84" t="s">
        <v>12</v>
      </c>
      <c r="L4" s="84" t="s">
        <v>4</v>
      </c>
      <c r="M4" s="84" t="s">
        <v>13</v>
      </c>
      <c r="N4" s="84" t="s">
        <v>60</v>
      </c>
      <c r="O4" s="84" t="s">
        <v>14</v>
      </c>
      <c r="P4" s="84" t="s">
        <v>9</v>
      </c>
      <c r="Q4" s="84" t="s">
        <v>9</v>
      </c>
    </row>
    <row r="5" spans="1:17" ht="12.75">
      <c r="A5" s="52" t="s">
        <v>121</v>
      </c>
      <c r="B5" s="85" t="s">
        <v>201</v>
      </c>
      <c r="C5" s="80" t="s">
        <v>59</v>
      </c>
      <c r="D5" s="80">
        <v>6</v>
      </c>
      <c r="E5" s="95">
        <v>0.37</v>
      </c>
      <c r="F5" s="95">
        <v>0.45</v>
      </c>
      <c r="G5" s="86">
        <f>+E5*('Machinery Cost'!E6+'Machinery Cost'!E11)</f>
        <v>1.8321577777777776</v>
      </c>
      <c r="H5" s="86">
        <f>+E5*('Machinery Cost'!F6+'Machinery Cost'!F11)</f>
        <v>1.5098836666666668</v>
      </c>
      <c r="I5" s="86">
        <f>+E5*('Machinery Cost'!G6+'Machinery Cost'!H6+'Machinery Cost'!I6+'Machinery Cost'!G11+'Machinery Cost'!H11+'Machinery Cost'!I11)</f>
        <v>0.562955</v>
      </c>
      <c r="J5" s="86">
        <f>+G5+H5+I5</f>
        <v>3.9049964444444445</v>
      </c>
      <c r="K5" s="86">
        <f>+E5*('Machinery Cost'!L6+'Machinery Cost'!K6+'Machinery Cost'!K11+'Machinery Cost'!L11)</f>
        <v>6.302672499999999</v>
      </c>
      <c r="L5" s="86">
        <f>+F5*'Basic Input Costs'!C$46</f>
        <v>6.3</v>
      </c>
      <c r="M5" s="86">
        <v>0</v>
      </c>
      <c r="N5" s="86">
        <v>0</v>
      </c>
      <c r="O5" s="86">
        <f>(SUM(K5:N5))*(3/12)*'Basic Input Costs'!C$49</f>
        <v>0.24417677968749998</v>
      </c>
      <c r="P5" s="86">
        <f aca="true" t="shared" si="0" ref="P5:P18">SUM(K5:O5)</f>
        <v>12.846849279687499</v>
      </c>
      <c r="Q5" s="86">
        <f aca="true" t="shared" si="1" ref="Q5:Q23">+P5+J5</f>
        <v>16.751845724131943</v>
      </c>
    </row>
    <row r="6" spans="1:17" ht="12.75">
      <c r="A6" s="52" t="s">
        <v>122</v>
      </c>
      <c r="B6" s="85" t="s">
        <v>200</v>
      </c>
      <c r="C6" s="80" t="s">
        <v>59</v>
      </c>
      <c r="D6" s="80">
        <v>6</v>
      </c>
      <c r="E6" s="95">
        <v>0.15</v>
      </c>
      <c r="F6" s="95">
        <v>0.18</v>
      </c>
      <c r="G6" s="86">
        <f>+E6*('Machinery Cost'!E6+'Machinery Cost'!E12)</f>
        <v>0.7253666666666666</v>
      </c>
      <c r="H6" s="86">
        <f>+E6*('Machinery Cost'!F6+'Machinery Cost'!F12)</f>
        <v>0.618205</v>
      </c>
      <c r="I6" s="86">
        <f>+E6*('Machinery Cost'!G6+'Machinery Cost'!H6+'Machinery Cost'!I6+'Machinery Cost'!G12+'Machinery Cost'!H12+'Machinery Cost'!I12)</f>
        <v>0.228225</v>
      </c>
      <c r="J6" s="86">
        <f>+G6+H6+I6</f>
        <v>1.5717966666666667</v>
      </c>
      <c r="K6" s="86">
        <f>+E6*('Machinery Cost'!K6+'Machinery Cost'!L6+'Machinery Cost'!K12+'Machinery Cost'!L12)</f>
        <v>2.5551374999999994</v>
      </c>
      <c r="L6" s="86">
        <f>+F6*'Basic Input Costs'!C$46</f>
        <v>2.52</v>
      </c>
      <c r="M6" s="86">
        <v>0</v>
      </c>
      <c r="N6" s="86">
        <f>+'Year 6-15 IS '!E11</f>
        <v>7.6</v>
      </c>
      <c r="O6" s="86">
        <f>(SUM(K6:N6))*(3/12)*'Basic Input Costs'!C$49</f>
        <v>0.24558078906249997</v>
      </c>
      <c r="P6" s="86">
        <f t="shared" si="0"/>
        <v>12.920718289062497</v>
      </c>
      <c r="Q6" s="86">
        <f t="shared" si="1"/>
        <v>14.492514955729163</v>
      </c>
    </row>
    <row r="7" spans="1:17" ht="12.75">
      <c r="A7" s="52" t="s">
        <v>123</v>
      </c>
      <c r="B7" s="85" t="s">
        <v>202</v>
      </c>
      <c r="C7" s="80" t="s">
        <v>59</v>
      </c>
      <c r="D7" s="80">
        <v>6</v>
      </c>
      <c r="E7" s="95">
        <v>0.69</v>
      </c>
      <c r="F7" s="95">
        <v>0.83</v>
      </c>
      <c r="G7" s="86">
        <f>+E7*('Machinery Cost'!E6+'Machinery Cost'!E10)</f>
        <v>7.091666666666667</v>
      </c>
      <c r="H7" s="86">
        <f>+E7*('Machinery Cost'!F6+'Machinery Cost'!F10)</f>
        <v>5.876500000000001</v>
      </c>
      <c r="I7" s="86">
        <f>+E7*('Machinery Cost'!G6+'Machinery Cost'!H6+'Machinery Cost'!I6+'Machinery Cost'!G10+'Machinery Cost'!H10+'Machinery Cost'!I10)</f>
        <v>2.161425</v>
      </c>
      <c r="J7" s="86">
        <f>+G7+H7+I7</f>
        <v>15.129591666666668</v>
      </c>
      <c r="K7" s="86">
        <f>+E7*('Machinery Cost'!K6+'Machinery Cost'!L6+'Machinery Cost'!K10+'Machinery Cost'!L10)</f>
        <v>15.187762499999996</v>
      </c>
      <c r="L7" s="86">
        <f>+F7*'Basic Input Costs'!C$46</f>
        <v>11.62</v>
      </c>
      <c r="M7" s="86">
        <v>0</v>
      </c>
      <c r="N7" s="86">
        <v>0</v>
      </c>
      <c r="O7" s="86">
        <f>(SUM(K7:N7))*(3/12)*'Basic Input Costs'!C$49</f>
        <v>0.5194003984374999</v>
      </c>
      <c r="P7" s="86">
        <f t="shared" si="0"/>
        <v>27.327162898437496</v>
      </c>
      <c r="Q7" s="86">
        <f t="shared" si="1"/>
        <v>42.45675456510416</v>
      </c>
    </row>
    <row r="8" spans="1:17" ht="12.75">
      <c r="A8" s="52" t="s">
        <v>52</v>
      </c>
      <c r="B8" s="85" t="s">
        <v>129</v>
      </c>
      <c r="C8" s="80" t="s">
        <v>74</v>
      </c>
      <c r="D8" s="80">
        <v>6</v>
      </c>
      <c r="E8" s="95">
        <v>0</v>
      </c>
      <c r="F8" s="95">
        <v>1.9</v>
      </c>
      <c r="G8" s="86">
        <f>+'Machinery Cost'!E18</f>
        <v>70.83333333333334</v>
      </c>
      <c r="H8" s="86">
        <f>+'Machinery Cost'!F18</f>
        <v>74.37500000000001</v>
      </c>
      <c r="I8" s="86">
        <f>+'Machinery Cost'!G18+'Machinery Cost'!H18</f>
        <v>4.5600000000000005</v>
      </c>
      <c r="J8" s="86">
        <f>+G8+H8+I8</f>
        <v>149.76833333333337</v>
      </c>
      <c r="K8" s="86">
        <f>+'Machinery Cost'!K18+'Machinery Cost'!L18</f>
        <v>27.34</v>
      </c>
      <c r="L8" s="86">
        <f>+F8*'Basic Input Costs'!C$46</f>
        <v>26.599999999999998</v>
      </c>
      <c r="M8" s="86">
        <v>0</v>
      </c>
      <c r="N8" s="86">
        <f>+'Year 6-15 IS '!E20+'Year 6-15 IS '!E21</f>
        <v>110</v>
      </c>
      <c r="O8" s="86">
        <f>(SUM(K8:N8))*(6/12)*'Basic Input Costs'!C$49</f>
        <v>6.352675</v>
      </c>
      <c r="P8" s="86">
        <f t="shared" si="0"/>
        <v>170.292675</v>
      </c>
      <c r="Q8" s="86">
        <f t="shared" si="1"/>
        <v>320.06100833333335</v>
      </c>
    </row>
    <row r="9" spans="1:17" ht="12.75">
      <c r="A9" s="52" t="s">
        <v>124</v>
      </c>
      <c r="B9" s="85" t="s">
        <v>267</v>
      </c>
      <c r="C9" s="80" t="s">
        <v>74</v>
      </c>
      <c r="D9" s="80">
        <v>6</v>
      </c>
      <c r="E9" s="95">
        <v>0</v>
      </c>
      <c r="F9" s="95">
        <v>0</v>
      </c>
      <c r="G9" s="86"/>
      <c r="H9" s="86"/>
      <c r="I9" s="86"/>
      <c r="J9" s="86">
        <v>0</v>
      </c>
      <c r="K9" s="86">
        <v>0</v>
      </c>
      <c r="L9" s="86">
        <f>+'Year 6-15 IS '!E13</f>
        <v>1540</v>
      </c>
      <c r="M9" s="86">
        <v>0</v>
      </c>
      <c r="N9" s="86">
        <v>0</v>
      </c>
      <c r="O9" s="86">
        <f>(SUM(K9:N9))*(2/12)*'Basic Input Costs'!C$49</f>
        <v>19.891666666666662</v>
      </c>
      <c r="P9" s="86">
        <f t="shared" si="0"/>
        <v>1559.8916666666667</v>
      </c>
      <c r="Q9" s="86">
        <f t="shared" si="1"/>
        <v>1559.8916666666667</v>
      </c>
    </row>
    <row r="10" spans="1:17" ht="12.75">
      <c r="A10" s="52" t="s">
        <v>125</v>
      </c>
      <c r="B10" s="85" t="s">
        <v>184</v>
      </c>
      <c r="C10" s="80" t="s">
        <v>74</v>
      </c>
      <c r="D10" s="80">
        <v>6</v>
      </c>
      <c r="E10" s="95">
        <v>0.44</v>
      </c>
      <c r="F10" s="95">
        <v>0.54</v>
      </c>
      <c r="G10" s="86">
        <f>+E10*('Machinery Cost'!E15+'Machinery Cost'!E13)</f>
        <v>5.6979999999999995</v>
      </c>
      <c r="H10" s="86">
        <f>+E10*('Machinery Cost'!F15+'Machinery Cost'!F13)</f>
        <v>2.9773333333333336</v>
      </c>
      <c r="I10" s="86">
        <f>+E10*('Machinery Cost'!G15+'Machinery Cost'!H15+'Machinery Cost'!I15+'Machinery Cost'!G13+'Machinery Cost'!H13+'Machinery Cost'!I13)</f>
        <v>1.202402666666667</v>
      </c>
      <c r="J10" s="86">
        <f>+G10+H10+I10</f>
        <v>9.877735999999999</v>
      </c>
      <c r="K10" s="86">
        <f>+E10*('Machinery Cost'!K14+'Machinery Cost'!L14+'Machinery Cost'!K13+'Machinery Cost'!L13)</f>
        <v>7.470096615384616</v>
      </c>
      <c r="L10" s="86">
        <f>+'Year 6-15 IS '!E14</f>
        <v>70</v>
      </c>
      <c r="M10" s="86">
        <v>0</v>
      </c>
      <c r="N10" s="86">
        <v>0</v>
      </c>
      <c r="O10" s="86">
        <f>(SUM(K10:N10))*(2/12)*'Basic Input Costs'!C$49</f>
        <v>1.0006554146153845</v>
      </c>
      <c r="P10" s="86">
        <f t="shared" si="0"/>
        <v>78.47075203</v>
      </c>
      <c r="Q10" s="86">
        <f t="shared" si="1"/>
        <v>88.34848803</v>
      </c>
    </row>
    <row r="11" spans="1:17" ht="12.75">
      <c r="A11" s="52" t="s">
        <v>126</v>
      </c>
      <c r="B11" s="85" t="s">
        <v>130</v>
      </c>
      <c r="C11" s="80" t="s">
        <v>74</v>
      </c>
      <c r="D11" s="80">
        <v>6</v>
      </c>
      <c r="E11" s="95">
        <v>0</v>
      </c>
      <c r="F11" s="95">
        <v>2</v>
      </c>
      <c r="G11" s="86"/>
      <c r="H11" s="86"/>
      <c r="I11" s="86"/>
      <c r="J11" s="86">
        <v>0</v>
      </c>
      <c r="K11" s="86">
        <v>0</v>
      </c>
      <c r="L11" s="86">
        <f>+'Year 6-15 IS '!E15</f>
        <v>140</v>
      </c>
      <c r="M11" s="86">
        <v>0</v>
      </c>
      <c r="N11" s="86">
        <v>0</v>
      </c>
      <c r="O11" s="86">
        <f>(SUM(K11:N11))*(2/12)*'Basic Input Costs'!C$49</f>
        <v>1.8083333333333331</v>
      </c>
      <c r="P11" s="86">
        <f t="shared" si="0"/>
        <v>141.80833333333334</v>
      </c>
      <c r="Q11" s="86">
        <f t="shared" si="1"/>
        <v>141.80833333333334</v>
      </c>
    </row>
    <row r="12" spans="1:17" ht="12.75">
      <c r="A12" s="52" t="s">
        <v>53</v>
      </c>
      <c r="B12" s="85" t="s">
        <v>200</v>
      </c>
      <c r="C12" s="80" t="s">
        <v>73</v>
      </c>
      <c r="D12" s="80">
        <v>6</v>
      </c>
      <c r="E12" s="95">
        <v>0.05</v>
      </c>
      <c r="F12" s="95">
        <v>0.06</v>
      </c>
      <c r="G12" s="86">
        <f>+E12*('Machinery Cost'!E6+'Machinery Cost'!E12)</f>
        <v>0.2417888888888889</v>
      </c>
      <c r="H12" s="86">
        <f>+E12*('Machinery Cost'!F6+'Machinery Cost'!F12)</f>
        <v>0.20606833333333335</v>
      </c>
      <c r="I12" s="86">
        <f>+E12*('Machinery Cost'!G6+'Machinery Cost'!H6+'Machinery Cost'!I6+'Machinery Cost'!G12+'Machinery Cost'!H12+'Machinery Cost'!I12)</f>
        <v>0.076075</v>
      </c>
      <c r="J12" s="86">
        <f>+G12+H12+I12</f>
        <v>0.5239322222222222</v>
      </c>
      <c r="K12" s="86">
        <f>+E12*('Machinery Cost'!K6+'Machinery Cost'!L6+'Machinery Cost'!K12+'Machinery Cost'!L12)</f>
        <v>0.8517124999999999</v>
      </c>
      <c r="L12" s="86">
        <v>0.6</v>
      </c>
      <c r="M12" s="86">
        <v>0</v>
      </c>
      <c r="N12" s="86">
        <f>+'Year 6-15 IS '!E12</f>
        <v>4.68</v>
      </c>
      <c r="O12" s="86">
        <f>(SUM(K12:N12))*(2/12)*'Basic Input Costs'!C$49</f>
        <v>0.07920128645833331</v>
      </c>
      <c r="P12" s="86">
        <f t="shared" si="0"/>
        <v>6.210913786458332</v>
      </c>
      <c r="Q12" s="86">
        <f t="shared" si="1"/>
        <v>6.734846008680554</v>
      </c>
    </row>
    <row r="13" spans="1:17" ht="12.75">
      <c r="A13" s="52" t="s">
        <v>127</v>
      </c>
      <c r="B13" s="85" t="s">
        <v>200</v>
      </c>
      <c r="C13" s="80" t="s">
        <v>76</v>
      </c>
      <c r="D13" s="80">
        <v>6</v>
      </c>
      <c r="E13" s="95">
        <v>0.15</v>
      </c>
      <c r="F13" s="95">
        <v>0.18</v>
      </c>
      <c r="G13" s="86">
        <f>+E13*('Machinery Cost'!E6+'Machinery Cost'!E12)</f>
        <v>0.7253666666666666</v>
      </c>
      <c r="H13" s="86">
        <f>+E13*('Machinery Cost'!F6+'Machinery Cost'!F12)</f>
        <v>0.618205</v>
      </c>
      <c r="I13" s="86">
        <f>+E13*('Machinery Cost'!G6+'Machinery Cost'!H6+'Machinery Cost'!I6+'Machinery Cost'!G12+'Machinery Cost'!H12+'Machinery Cost'!I12)</f>
        <v>0.228225</v>
      </c>
      <c r="J13" s="86">
        <f>+G13+H13+I13</f>
        <v>1.5717966666666667</v>
      </c>
      <c r="K13" s="86">
        <f>+E13*('Machinery Cost'!K6+'Machinery Cost'!L6+'Machinery Cost'!K12+'Machinery Cost'!L12)</f>
        <v>2.5551374999999994</v>
      </c>
      <c r="L13" s="86">
        <f>+F13*'Basic Input Costs'!C$46</f>
        <v>2.52</v>
      </c>
      <c r="M13" s="86">
        <v>0</v>
      </c>
      <c r="N13" s="86">
        <f>+'Year 6-15 IS '!E16+'Year 6-15 IS '!E17</f>
        <v>15.45</v>
      </c>
      <c r="O13" s="86">
        <v>0</v>
      </c>
      <c r="P13" s="86">
        <f t="shared" si="0"/>
        <v>20.5251375</v>
      </c>
      <c r="Q13" s="86">
        <f t="shared" si="1"/>
        <v>22.096934166666667</v>
      </c>
    </row>
    <row r="14" spans="1:17" ht="12.75">
      <c r="A14" s="52" t="s">
        <v>47</v>
      </c>
      <c r="B14" s="85" t="s">
        <v>62</v>
      </c>
      <c r="C14" s="80" t="s">
        <v>76</v>
      </c>
      <c r="D14" s="80">
        <v>6</v>
      </c>
      <c r="E14" s="102">
        <v>0</v>
      </c>
      <c r="F14" s="95">
        <v>0</v>
      </c>
      <c r="G14" s="86"/>
      <c r="H14" s="86"/>
      <c r="I14" s="86"/>
      <c r="J14" s="86">
        <v>0</v>
      </c>
      <c r="K14" s="86">
        <v>0</v>
      </c>
      <c r="L14" s="86">
        <f>+F14*'Basic Input Costs'!C$46</f>
        <v>0</v>
      </c>
      <c r="M14" s="86">
        <f>+'Year 6-15 IS '!E18</f>
        <v>7.5</v>
      </c>
      <c r="N14" s="86">
        <f>+'Year 6-15 IS '!E19</f>
        <v>68.39999999999999</v>
      </c>
      <c r="O14" s="86">
        <v>0</v>
      </c>
      <c r="P14" s="86">
        <f t="shared" si="0"/>
        <v>75.89999999999999</v>
      </c>
      <c r="Q14" s="86">
        <f t="shared" si="1"/>
        <v>75.89999999999999</v>
      </c>
    </row>
    <row r="15" spans="1:17" ht="12.75">
      <c r="A15" s="52" t="s">
        <v>120</v>
      </c>
      <c r="B15" s="85" t="s">
        <v>128</v>
      </c>
      <c r="C15" s="80" t="s">
        <v>131</v>
      </c>
      <c r="D15" s="80">
        <v>6</v>
      </c>
      <c r="E15" s="95">
        <v>0</v>
      </c>
      <c r="F15" s="95">
        <v>0</v>
      </c>
      <c r="G15" s="86"/>
      <c r="H15" s="86"/>
      <c r="I15" s="86"/>
      <c r="J15" s="86">
        <v>0</v>
      </c>
      <c r="K15" s="86">
        <v>0</v>
      </c>
      <c r="L15" s="86">
        <f>+F15*'Basic Input Costs'!C$46</f>
        <v>0</v>
      </c>
      <c r="M15" s="86">
        <f>+'Year 6-15 IS '!E8</f>
        <v>7.5</v>
      </c>
      <c r="N15" s="86">
        <f>+'Year 6-15 IS '!E9+'Year 6-15 IS '!E10</f>
        <v>27.906800000000004</v>
      </c>
      <c r="O15" s="86">
        <f>(SUM(K15:N15))*(11/12)*'Basic Input Costs'!C$49</f>
        <v>2.5153580833333335</v>
      </c>
      <c r="P15" s="86">
        <f>SUM(K15:O15)</f>
        <v>37.922158083333336</v>
      </c>
      <c r="Q15" s="86">
        <f>+P15+J15</f>
        <v>37.922158083333336</v>
      </c>
    </row>
    <row r="16" spans="1:17" ht="12.75">
      <c r="A16" s="52" t="s">
        <v>55</v>
      </c>
      <c r="B16" s="88" t="s">
        <v>68</v>
      </c>
      <c r="C16" s="80" t="s">
        <v>77</v>
      </c>
      <c r="D16" s="80">
        <v>6</v>
      </c>
      <c r="E16" s="95">
        <v>0</v>
      </c>
      <c r="F16" s="95">
        <v>0</v>
      </c>
      <c r="G16" s="86"/>
      <c r="H16" s="86"/>
      <c r="I16" s="86"/>
      <c r="J16" s="86">
        <f>+'Basic Input Costs'!C48*'Year 6-15 IS '!E5</f>
        <v>234.5</v>
      </c>
      <c r="K16" s="86">
        <f>+E16*('Machinery Cost'!K15+'Machinery Cost'!L15)</f>
        <v>0</v>
      </c>
      <c r="L16" s="86">
        <f>+F16*'Basic Input Costs'!C$46</f>
        <v>0</v>
      </c>
      <c r="M16" s="86">
        <v>0</v>
      </c>
      <c r="N16" s="86">
        <v>0</v>
      </c>
      <c r="O16" s="86">
        <v>0</v>
      </c>
      <c r="P16" s="86">
        <f t="shared" si="0"/>
        <v>0</v>
      </c>
      <c r="Q16" s="86">
        <f t="shared" si="1"/>
        <v>234.5</v>
      </c>
    </row>
    <row r="17" spans="1:17" ht="12.75">
      <c r="A17" s="52" t="s">
        <v>31</v>
      </c>
      <c r="B17" s="85" t="s">
        <v>69</v>
      </c>
      <c r="C17" s="80" t="s">
        <v>77</v>
      </c>
      <c r="D17" s="80">
        <v>6</v>
      </c>
      <c r="E17" s="95">
        <v>1.8</v>
      </c>
      <c r="F17" s="95">
        <v>0</v>
      </c>
      <c r="G17" s="86">
        <f>+E17*('Machinery Cost'!E15)</f>
        <v>15.75</v>
      </c>
      <c r="H17" s="86">
        <f>+E17*'Machinery Cost'!F15</f>
        <v>6.51</v>
      </c>
      <c r="I17" s="86">
        <f>+'Machinery Cost'!G15+'Machinery Cost'!H15+'Machinery Cost'!I15</f>
        <v>1.5513333333333335</v>
      </c>
      <c r="J17" s="86">
        <f>+G17+H17+I17</f>
        <v>23.81133333333333</v>
      </c>
      <c r="K17" s="86">
        <f>+E17*('Machinery Cost'!K15+'Machinery Cost'!L15)</f>
        <v>27.256800000000002</v>
      </c>
      <c r="L17" s="86">
        <f>+F17*'Basic Input Costs'!C$46</f>
        <v>0</v>
      </c>
      <c r="M17" s="86">
        <v>0</v>
      </c>
      <c r="N17" s="86">
        <v>0</v>
      </c>
      <c r="O17" s="86">
        <f>(SUM(K17:N17))*(6/12)*'Basic Input Costs'!C$49</f>
        <v>1.0562010000000002</v>
      </c>
      <c r="P17" s="86">
        <f t="shared" si="0"/>
        <v>28.313001000000003</v>
      </c>
      <c r="Q17" s="86">
        <f t="shared" si="1"/>
        <v>52.12433433333334</v>
      </c>
    </row>
    <row r="18" spans="1:17" ht="12.75">
      <c r="A18" s="52" t="s">
        <v>56</v>
      </c>
      <c r="B18" s="85" t="s">
        <v>69</v>
      </c>
      <c r="C18" s="80" t="s">
        <v>77</v>
      </c>
      <c r="D18" s="80">
        <v>6</v>
      </c>
      <c r="E18" s="95">
        <v>3</v>
      </c>
      <c r="F18" s="95">
        <v>0</v>
      </c>
      <c r="G18" s="86">
        <f>+E18*'Machinery Cost'!E14</f>
        <v>23.076923076923077</v>
      </c>
      <c r="H18" s="86">
        <f>+E18*'Machinery Cost'!F14</f>
        <v>8.076923076923077</v>
      </c>
      <c r="I18" s="86">
        <f>+E18*('Machinery Cost'!G14+'Machinery Cost'!H14+'Machinery Cost'!I14)</f>
        <v>2.5200000000000005</v>
      </c>
      <c r="J18" s="86">
        <f>+G18+H18+I18</f>
        <v>33.673846153846156</v>
      </c>
      <c r="K18" s="86">
        <f>+E18*('Machinery Cost'!K14+'Machinery Cost'!L14)</f>
        <v>39.98307692307692</v>
      </c>
      <c r="L18" s="86">
        <f>+F18*'Basic Input Costs'!C$46</f>
        <v>0</v>
      </c>
      <c r="M18" s="86">
        <v>0</v>
      </c>
      <c r="N18" s="86">
        <v>0</v>
      </c>
      <c r="O18" s="86">
        <f>(SUM(K18:N18))*(6/12)*'Basic Input Costs'!C$49</f>
        <v>1.5493442307692307</v>
      </c>
      <c r="P18" s="86">
        <f t="shared" si="0"/>
        <v>41.53242115384615</v>
      </c>
      <c r="Q18" s="86">
        <f t="shared" si="1"/>
        <v>75.20626730769231</v>
      </c>
    </row>
    <row r="19" spans="1:17" ht="12.75">
      <c r="A19" s="52" t="s">
        <v>146</v>
      </c>
      <c r="B19" s="85" t="s">
        <v>140</v>
      </c>
      <c r="C19" s="80" t="s">
        <v>77</v>
      </c>
      <c r="D19" s="80">
        <v>6</v>
      </c>
      <c r="E19" s="95">
        <v>0</v>
      </c>
      <c r="F19" s="95">
        <v>0</v>
      </c>
      <c r="G19" s="86"/>
      <c r="H19" s="86"/>
      <c r="I19" s="86"/>
      <c r="J19" s="86">
        <f>+'Basic Input Costs'!F62</f>
        <v>405.8102500049368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f t="shared" si="1"/>
        <v>405.8102500049368</v>
      </c>
    </row>
    <row r="20" spans="1:17" ht="12.75">
      <c r="A20" s="52" t="s">
        <v>57</v>
      </c>
      <c r="B20" s="85" t="s">
        <v>237</v>
      </c>
      <c r="C20" s="80" t="s">
        <v>77</v>
      </c>
      <c r="D20" s="80">
        <v>6</v>
      </c>
      <c r="E20" s="95">
        <v>0</v>
      </c>
      <c r="F20" s="95">
        <v>0</v>
      </c>
      <c r="G20" s="86"/>
      <c r="H20" s="86"/>
      <c r="I20" s="86"/>
      <c r="J20" s="86">
        <f>+'Year 6-15 IS '!E35</f>
        <v>566.6666666666666</v>
      </c>
      <c r="K20" s="86">
        <v>0</v>
      </c>
      <c r="L20" s="86">
        <f>+F20*'Basic Input Costs'!C$46</f>
        <v>0</v>
      </c>
      <c r="M20" s="86">
        <v>0</v>
      </c>
      <c r="N20" s="86">
        <v>0</v>
      </c>
      <c r="O20" s="86">
        <f>(SUM(K20:N20))*(6/12)*'Basic Input Costs'!C$49</f>
        <v>0</v>
      </c>
      <c r="P20" s="86">
        <f>SUM(K20:O20)</f>
        <v>0</v>
      </c>
      <c r="Q20" s="86">
        <f t="shared" si="1"/>
        <v>566.6666666666666</v>
      </c>
    </row>
    <row r="21" spans="1:17" ht="12.75">
      <c r="A21" s="52" t="s">
        <v>40</v>
      </c>
      <c r="B21" s="85" t="s">
        <v>70</v>
      </c>
      <c r="C21" s="80" t="s">
        <v>77</v>
      </c>
      <c r="D21" s="80">
        <v>6</v>
      </c>
      <c r="E21" s="95">
        <v>0</v>
      </c>
      <c r="F21" s="95">
        <v>0</v>
      </c>
      <c r="G21" s="86"/>
      <c r="H21" s="86"/>
      <c r="I21" s="86"/>
      <c r="J21" s="86">
        <f>+'Basic Input Costs'!C45</f>
        <v>152.15</v>
      </c>
      <c r="K21" s="86">
        <v>0</v>
      </c>
      <c r="L21" s="86">
        <f>+F21*'Basic Input Costs'!C$46</f>
        <v>0</v>
      </c>
      <c r="M21" s="86">
        <v>0</v>
      </c>
      <c r="N21" s="86">
        <v>0</v>
      </c>
      <c r="O21" s="86">
        <f>(SUM(K21:N21))*(6/12)*'Basic Input Costs'!C$49</f>
        <v>0</v>
      </c>
      <c r="P21" s="86">
        <f>SUM(K21:O21)</f>
        <v>0</v>
      </c>
      <c r="Q21" s="86">
        <f t="shared" si="1"/>
        <v>152.15</v>
      </c>
    </row>
    <row r="22" spans="1:17" ht="12.75">
      <c r="A22" s="52" t="s">
        <v>40</v>
      </c>
      <c r="B22" s="85" t="s">
        <v>189</v>
      </c>
      <c r="C22" s="80" t="s">
        <v>77</v>
      </c>
      <c r="D22" s="80">
        <v>3</v>
      </c>
      <c r="E22" s="95">
        <v>0</v>
      </c>
      <c r="F22" s="95">
        <v>0</v>
      </c>
      <c r="G22" s="86"/>
      <c r="H22" s="86"/>
      <c r="I22" s="86"/>
      <c r="J22" s="86">
        <f>+L24*'Basic Input Costs'!C47</f>
        <v>306.0272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f t="shared" si="1"/>
        <v>306.0272</v>
      </c>
    </row>
    <row r="23" spans="1:17" s="15" customFormat="1" ht="15.75" customHeight="1" thickBot="1">
      <c r="A23" s="79" t="s">
        <v>58</v>
      </c>
      <c r="B23" s="89" t="s">
        <v>71</v>
      </c>
      <c r="C23" s="90" t="s">
        <v>77</v>
      </c>
      <c r="D23" s="80">
        <v>6</v>
      </c>
      <c r="E23" s="97">
        <v>0</v>
      </c>
      <c r="F23" s="97">
        <v>0</v>
      </c>
      <c r="G23" s="91"/>
      <c r="H23" s="91"/>
      <c r="I23" s="91"/>
      <c r="J23" s="91">
        <v>0</v>
      </c>
      <c r="K23" s="91">
        <v>0</v>
      </c>
      <c r="L23" s="91">
        <f>+F23*'Basic Input Costs'!C$46</f>
        <v>0</v>
      </c>
      <c r="M23" s="91">
        <v>0</v>
      </c>
      <c r="N23" s="91">
        <f>+'Year 6-15 IS '!E25</f>
        <v>60</v>
      </c>
      <c r="O23" s="91">
        <f>(SUM(K23:N23))*(6/12)*'Basic Input Costs'!C$49</f>
        <v>2.325</v>
      </c>
      <c r="P23" s="91">
        <f>SUM(K23:O23)</f>
        <v>62.325</v>
      </c>
      <c r="Q23" s="91">
        <f t="shared" si="1"/>
        <v>62.325</v>
      </c>
    </row>
    <row r="24" spans="1:17" ht="18" customHeight="1" thickBot="1">
      <c r="A24" s="92" t="s">
        <v>72</v>
      </c>
      <c r="B24" s="93" t="s">
        <v>72</v>
      </c>
      <c r="C24" s="92"/>
      <c r="D24" s="92"/>
      <c r="E24" s="94">
        <f aca="true" t="shared" si="2" ref="E24:Q24">SUM(E5:E23)</f>
        <v>6.65</v>
      </c>
      <c r="F24" s="94">
        <f t="shared" si="2"/>
        <v>6.14</v>
      </c>
      <c r="G24" s="94">
        <f>SUM(G5:G23)</f>
        <v>125.97460307692309</v>
      </c>
      <c r="H24" s="94">
        <f>SUM(H5:H23)</f>
        <v>100.76811841025643</v>
      </c>
      <c r="I24" s="94">
        <f>SUM(I5:I23)</f>
        <v>13.090641000000002</v>
      </c>
      <c r="J24" s="94">
        <f t="shared" si="2"/>
        <v>1904.9874791587831</v>
      </c>
      <c r="K24" s="94">
        <f t="shared" si="2"/>
        <v>129.50239603846154</v>
      </c>
      <c r="L24" s="94">
        <f t="shared" si="2"/>
        <v>1800.1599999999999</v>
      </c>
      <c r="M24" s="94">
        <f t="shared" si="2"/>
        <v>15</v>
      </c>
      <c r="N24" s="94">
        <f t="shared" si="2"/>
        <v>294.03679999999997</v>
      </c>
      <c r="O24" s="94">
        <f t="shared" si="2"/>
        <v>37.58759298236378</v>
      </c>
      <c r="P24" s="94">
        <f t="shared" si="2"/>
        <v>2276.2867890208254</v>
      </c>
      <c r="Q24" s="94">
        <f t="shared" si="2"/>
        <v>4181.274268179608</v>
      </c>
    </row>
    <row r="25" spans="5:9" ht="12.75">
      <c r="E25" s="10"/>
      <c r="F25" s="10"/>
      <c r="G25" s="10"/>
      <c r="H25" s="10"/>
      <c r="I25" s="10"/>
    </row>
    <row r="26" spans="5:9" ht="12.75">
      <c r="E26" s="10"/>
      <c r="F26" s="10"/>
      <c r="G26" s="10"/>
      <c r="H26" s="10"/>
      <c r="I26" s="10"/>
    </row>
  </sheetData>
  <sheetProtection/>
  <mergeCells count="1">
    <mergeCell ref="A1:Q1"/>
  </mergeCells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Footer>&amp;L&amp;Z&amp;F&amp;R&amp;D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1.7109375" style="0" customWidth="1"/>
    <col min="2" max="2" width="9.140625" style="1" customWidth="1"/>
    <col min="3" max="3" width="9.8515625" style="0" customWidth="1"/>
    <col min="4" max="4" width="10.57421875" style="0" customWidth="1"/>
    <col min="5" max="5" width="10.421875" style="0" customWidth="1"/>
  </cols>
  <sheetData>
    <row r="1" spans="1:5" s="15" customFormat="1" ht="18" customHeight="1" thickBot="1">
      <c r="A1" s="126" t="s">
        <v>304</v>
      </c>
      <c r="B1" s="126"/>
      <c r="C1" s="126"/>
      <c r="D1" s="126"/>
      <c r="E1" s="126"/>
    </row>
    <row r="2" spans="1:5" ht="12.75">
      <c r="A2" s="52"/>
      <c r="B2" s="80"/>
      <c r="C2" s="80" t="s">
        <v>82</v>
      </c>
      <c r="D2" s="80"/>
      <c r="E2" s="80" t="s">
        <v>85</v>
      </c>
    </row>
    <row r="3" spans="1:5" ht="13.5" thickBot="1">
      <c r="A3" s="82"/>
      <c r="B3" s="83" t="s">
        <v>81</v>
      </c>
      <c r="C3" s="83" t="s">
        <v>83</v>
      </c>
      <c r="D3" s="83" t="s">
        <v>84</v>
      </c>
      <c r="E3" s="83" t="s">
        <v>9</v>
      </c>
    </row>
    <row r="4" spans="1:5" ht="12.75">
      <c r="A4" s="98" t="s">
        <v>141</v>
      </c>
      <c r="B4" s="99"/>
      <c r="C4" s="99"/>
      <c r="D4" s="99"/>
      <c r="E4" s="99"/>
    </row>
    <row r="5" spans="1:5" ht="12.75">
      <c r="A5" s="98" t="s">
        <v>142</v>
      </c>
      <c r="B5" s="99" t="s">
        <v>105</v>
      </c>
      <c r="C5" s="100">
        <f>+'Basic Input Costs'!H5</f>
        <v>0.67</v>
      </c>
      <c r="D5" s="101">
        <f>+'Basic Input Costs'!H6</f>
        <v>7000</v>
      </c>
      <c r="E5" s="101">
        <f>+D5*C5</f>
        <v>4690</v>
      </c>
    </row>
    <row r="6" spans="1:5" ht="12.75">
      <c r="A6" s="98"/>
      <c r="B6" s="99"/>
      <c r="C6" s="99"/>
      <c r="D6" s="99"/>
      <c r="E6" s="99"/>
    </row>
    <row r="7" spans="1:5" ht="12.75">
      <c r="A7" s="52" t="s">
        <v>80</v>
      </c>
      <c r="B7" s="80"/>
      <c r="C7" s="52"/>
      <c r="D7" s="52"/>
      <c r="E7" s="52"/>
    </row>
    <row r="8" spans="1:5" ht="12.75">
      <c r="A8" s="52" t="s">
        <v>92</v>
      </c>
      <c r="B8" s="80" t="s">
        <v>103</v>
      </c>
      <c r="C8" s="86">
        <f>+'Basic Input Costs'!C34</f>
        <v>7.5</v>
      </c>
      <c r="D8" s="95">
        <v>1</v>
      </c>
      <c r="E8" s="86">
        <f aca="true" t="shared" si="0" ref="E8:E25">+D8*C8</f>
        <v>7.5</v>
      </c>
    </row>
    <row r="9" spans="1:5" ht="12.75">
      <c r="A9" s="52" t="s">
        <v>93</v>
      </c>
      <c r="B9" s="80" t="s">
        <v>106</v>
      </c>
      <c r="C9" s="86">
        <f>+'Basic Input Costs'!C16</f>
        <v>147.36</v>
      </c>
      <c r="D9" s="95">
        <v>0.13</v>
      </c>
      <c r="E9" s="86">
        <f t="shared" si="0"/>
        <v>19.156800000000004</v>
      </c>
    </row>
    <row r="10" spans="1:5" ht="12.75">
      <c r="A10" s="52" t="s">
        <v>94</v>
      </c>
      <c r="B10" s="80" t="s">
        <v>106</v>
      </c>
      <c r="C10" s="86">
        <f>+'Basic Input Costs'!C17</f>
        <v>35</v>
      </c>
      <c r="D10" s="95">
        <v>0.25</v>
      </c>
      <c r="E10" s="86">
        <f t="shared" si="0"/>
        <v>8.75</v>
      </c>
    </row>
    <row r="11" spans="1:5" ht="12.75">
      <c r="A11" s="52" t="s">
        <v>132</v>
      </c>
      <c r="B11" s="80" t="s">
        <v>106</v>
      </c>
      <c r="C11" s="86">
        <f>+'Basic Input Costs'!C18</f>
        <v>20</v>
      </c>
      <c r="D11" s="95">
        <v>0.38</v>
      </c>
      <c r="E11" s="86">
        <f t="shared" si="0"/>
        <v>7.6</v>
      </c>
    </row>
    <row r="12" spans="1:5" ht="12.75">
      <c r="A12" s="52" t="s">
        <v>191</v>
      </c>
      <c r="B12" s="80" t="s">
        <v>106</v>
      </c>
      <c r="C12" s="86">
        <f>+'Basic Input Costs'!C13</f>
        <v>36</v>
      </c>
      <c r="D12" s="95">
        <v>0.13</v>
      </c>
      <c r="E12" s="86">
        <f t="shared" si="0"/>
        <v>4.68</v>
      </c>
    </row>
    <row r="13" spans="1:7" ht="12.75">
      <c r="A13" s="52" t="s">
        <v>186</v>
      </c>
      <c r="B13" s="80" t="s">
        <v>105</v>
      </c>
      <c r="C13" s="86">
        <f>+'Basic Input Costs'!C25</f>
        <v>0.22</v>
      </c>
      <c r="D13" s="108">
        <f>+D5</f>
        <v>7000</v>
      </c>
      <c r="E13" s="86">
        <f t="shared" si="0"/>
        <v>1540</v>
      </c>
      <c r="G13" t="s">
        <v>278</v>
      </c>
    </row>
    <row r="14" spans="1:5" ht="12.75">
      <c r="A14" s="52" t="s">
        <v>187</v>
      </c>
      <c r="B14" s="80" t="s">
        <v>105</v>
      </c>
      <c r="C14" s="86">
        <f>+'Basic Input Costs'!C26</f>
        <v>0.01</v>
      </c>
      <c r="D14" s="108">
        <f>+D5</f>
        <v>7000</v>
      </c>
      <c r="E14" s="86">
        <f t="shared" si="0"/>
        <v>70</v>
      </c>
    </row>
    <row r="15" spans="1:5" ht="12.75">
      <c r="A15" s="52" t="s">
        <v>188</v>
      </c>
      <c r="B15" s="80" t="s">
        <v>105</v>
      </c>
      <c r="C15" s="86">
        <f>+'Basic Input Costs'!C27</f>
        <v>0.02</v>
      </c>
      <c r="D15" s="108">
        <f>+D5</f>
        <v>7000</v>
      </c>
      <c r="E15" s="86">
        <f t="shared" si="0"/>
        <v>140</v>
      </c>
    </row>
    <row r="16" spans="1:5" ht="12.75">
      <c r="A16" s="52" t="s">
        <v>133</v>
      </c>
      <c r="B16" s="80" t="s">
        <v>105</v>
      </c>
      <c r="C16" s="86">
        <f>+'Basic Input Costs'!C19</f>
        <v>6.05</v>
      </c>
      <c r="D16" s="95">
        <v>1.2</v>
      </c>
      <c r="E16" s="86">
        <f t="shared" si="0"/>
        <v>7.26</v>
      </c>
    </row>
    <row r="17" spans="1:5" ht="12.75">
      <c r="A17" s="52" t="s">
        <v>134</v>
      </c>
      <c r="B17" s="80" t="s">
        <v>105</v>
      </c>
      <c r="C17" s="86">
        <f>+'Basic Input Costs'!C20</f>
        <v>13</v>
      </c>
      <c r="D17" s="95">
        <v>0.63</v>
      </c>
      <c r="E17" s="86">
        <f t="shared" si="0"/>
        <v>8.19</v>
      </c>
    </row>
    <row r="18" spans="1:5" ht="12.75">
      <c r="A18" s="52" t="s">
        <v>135</v>
      </c>
      <c r="B18" s="80" t="s">
        <v>103</v>
      </c>
      <c r="C18" s="86">
        <f>+'Basic Input Costs'!C33</f>
        <v>7.5</v>
      </c>
      <c r="D18" s="95">
        <v>1</v>
      </c>
      <c r="E18" s="86">
        <f t="shared" si="0"/>
        <v>7.5</v>
      </c>
    </row>
    <row r="19" spans="1:5" ht="12.75">
      <c r="A19" s="52" t="s">
        <v>89</v>
      </c>
      <c r="B19" s="80" t="s">
        <v>105</v>
      </c>
      <c r="C19" s="86">
        <f>+'Basic Input Costs'!C10</f>
        <v>0.57</v>
      </c>
      <c r="D19" s="95">
        <v>120</v>
      </c>
      <c r="E19" s="86">
        <f t="shared" si="0"/>
        <v>68.39999999999999</v>
      </c>
    </row>
    <row r="20" spans="1:5" ht="12.75">
      <c r="A20" s="52" t="s">
        <v>136</v>
      </c>
      <c r="B20" s="80" t="s">
        <v>103</v>
      </c>
      <c r="C20" s="86">
        <f>+'Basic Input Costs'!C38</f>
        <v>60</v>
      </c>
      <c r="D20" s="95">
        <v>1</v>
      </c>
      <c r="E20" s="86">
        <f t="shared" si="0"/>
        <v>60</v>
      </c>
    </row>
    <row r="21" spans="1:5" ht="12.75">
      <c r="A21" s="52" t="s">
        <v>96</v>
      </c>
      <c r="B21" s="80" t="s">
        <v>103</v>
      </c>
      <c r="C21" s="86">
        <f>+'Basic Input Costs'!C39</f>
        <v>50</v>
      </c>
      <c r="D21" s="95">
        <v>1</v>
      </c>
      <c r="E21" s="86">
        <f t="shared" si="0"/>
        <v>50</v>
      </c>
    </row>
    <row r="22" spans="1:5" ht="12.75">
      <c r="A22" s="52" t="s">
        <v>217</v>
      </c>
      <c r="B22" s="80" t="s">
        <v>103</v>
      </c>
      <c r="C22" s="86">
        <f>+'Year 6-15 SOP'!K24</f>
        <v>129.50239603846154</v>
      </c>
      <c r="D22" s="95">
        <v>1</v>
      </c>
      <c r="E22" s="86">
        <f t="shared" si="0"/>
        <v>129.50239603846154</v>
      </c>
    </row>
    <row r="23" spans="1:5" ht="12.75">
      <c r="A23" s="52" t="s">
        <v>137</v>
      </c>
      <c r="B23" s="80" t="s">
        <v>103</v>
      </c>
      <c r="C23" s="86">
        <f>+'Year 6-15 SOP'!L24-'Year 6-15 SOP'!L9-'Year 6-15 SOP'!L10-'Year 6-15 SOP'!L11</f>
        <v>50.159999999999854</v>
      </c>
      <c r="D23" s="95">
        <v>1</v>
      </c>
      <c r="E23" s="86">
        <f t="shared" si="0"/>
        <v>50.159999999999854</v>
      </c>
    </row>
    <row r="24" spans="1:5" ht="12.75">
      <c r="A24" s="52" t="s">
        <v>97</v>
      </c>
      <c r="B24" s="80" t="s">
        <v>103</v>
      </c>
      <c r="C24" s="86">
        <f>+'Year 6-15 SOP'!O24</f>
        <v>37.58759298236378</v>
      </c>
      <c r="D24" s="95">
        <v>1</v>
      </c>
      <c r="E24" s="86">
        <f t="shared" si="0"/>
        <v>37.58759298236378</v>
      </c>
    </row>
    <row r="25" spans="1:5" ht="12.75">
      <c r="A25" s="52" t="s">
        <v>58</v>
      </c>
      <c r="B25" s="80" t="s">
        <v>103</v>
      </c>
      <c r="C25" s="86">
        <f>+'Basic Input Costs'!C42</f>
        <v>60</v>
      </c>
      <c r="D25" s="95">
        <v>1</v>
      </c>
      <c r="E25" s="86">
        <f t="shared" si="0"/>
        <v>60</v>
      </c>
    </row>
    <row r="26" spans="1:5" ht="12.75">
      <c r="A26" s="52"/>
      <c r="B26" s="80"/>
      <c r="C26" s="86"/>
      <c r="D26" s="86"/>
      <c r="E26" s="86"/>
    </row>
    <row r="27" spans="1:5" ht="12.75">
      <c r="A27" s="52" t="s">
        <v>98</v>
      </c>
      <c r="B27" s="80"/>
      <c r="C27" s="86"/>
      <c r="D27" s="86"/>
      <c r="E27" s="86">
        <f>SUM(E8:E25)</f>
        <v>2276.2867890208254</v>
      </c>
    </row>
    <row r="28" spans="1:5" ht="12.75">
      <c r="A28" s="52"/>
      <c r="B28" s="80"/>
      <c r="C28" s="86"/>
      <c r="D28" s="86"/>
      <c r="E28" s="86"/>
    </row>
    <row r="29" spans="1:5" ht="12.75">
      <c r="A29" s="52" t="s">
        <v>99</v>
      </c>
      <c r="B29" s="80"/>
      <c r="C29" s="86"/>
      <c r="D29" s="86"/>
      <c r="E29" s="86"/>
    </row>
    <row r="30" spans="1:5" ht="12.75">
      <c r="A30" s="52" t="s">
        <v>100</v>
      </c>
      <c r="B30" s="80" t="s">
        <v>103</v>
      </c>
      <c r="C30" s="86">
        <f>+'Year 6-15 SOP'!G24</f>
        <v>125.97460307692309</v>
      </c>
      <c r="D30" s="95">
        <v>1</v>
      </c>
      <c r="E30" s="86">
        <f>+D30*C30</f>
        <v>125.97460307692309</v>
      </c>
    </row>
    <row r="31" spans="1:5" ht="12.75">
      <c r="A31" s="52" t="s">
        <v>101</v>
      </c>
      <c r="B31" s="80" t="s">
        <v>103</v>
      </c>
      <c r="C31" s="86">
        <f>+'Year 4 IS'!C31</f>
        <v>100.76811841025643</v>
      </c>
      <c r="D31" s="95">
        <v>1</v>
      </c>
      <c r="E31" s="86">
        <f aca="true" t="shared" si="1" ref="E31:E37">+D31*C31</f>
        <v>100.76811841025643</v>
      </c>
    </row>
    <row r="32" spans="1:5" ht="12.75">
      <c r="A32" s="52" t="s">
        <v>102</v>
      </c>
      <c r="B32" s="80" t="s">
        <v>103</v>
      </c>
      <c r="C32" s="86">
        <f>+'Year 6-15 SOP'!I24</f>
        <v>13.090641000000002</v>
      </c>
      <c r="D32" s="95">
        <v>1</v>
      </c>
      <c r="E32" s="86">
        <f t="shared" si="1"/>
        <v>13.090641000000002</v>
      </c>
    </row>
    <row r="33" spans="1:5" ht="12.75">
      <c r="A33" s="52" t="s">
        <v>107</v>
      </c>
      <c r="B33" s="80" t="s">
        <v>103</v>
      </c>
      <c r="C33" s="86">
        <f>+'Basic Input Costs'!C45</f>
        <v>152.15</v>
      </c>
      <c r="D33" s="95">
        <v>1</v>
      </c>
      <c r="E33" s="86">
        <f t="shared" si="1"/>
        <v>152.15</v>
      </c>
    </row>
    <row r="34" spans="1:5" ht="12.75">
      <c r="A34" s="52" t="s">
        <v>189</v>
      </c>
      <c r="B34" s="80" t="s">
        <v>103</v>
      </c>
      <c r="C34" s="86">
        <f>+'Year 6-15 SOP'!J22</f>
        <v>306.0272</v>
      </c>
      <c r="D34" s="95">
        <v>1</v>
      </c>
      <c r="E34" s="86">
        <f t="shared" si="1"/>
        <v>306.0272</v>
      </c>
    </row>
    <row r="35" spans="1:5" ht="12.75">
      <c r="A35" s="85" t="s">
        <v>237</v>
      </c>
      <c r="B35" s="80" t="s">
        <v>103</v>
      </c>
      <c r="C35" s="86">
        <f>+'Basic Input Costs'!C43</f>
        <v>566.6666666666666</v>
      </c>
      <c r="D35" s="95">
        <v>1</v>
      </c>
      <c r="E35" s="86">
        <f t="shared" si="1"/>
        <v>566.6666666666666</v>
      </c>
    </row>
    <row r="36" spans="1:5" ht="12.75">
      <c r="A36" s="52" t="s">
        <v>55</v>
      </c>
      <c r="B36" s="80" t="s">
        <v>103</v>
      </c>
      <c r="C36" s="86">
        <f>+'Year 6-15 SOP'!J16</f>
        <v>234.5</v>
      </c>
      <c r="D36" s="95">
        <v>1</v>
      </c>
      <c r="E36" s="86">
        <f t="shared" si="1"/>
        <v>234.5</v>
      </c>
    </row>
    <row r="37" spans="1:5" ht="12.75">
      <c r="A37" s="52" t="s">
        <v>139</v>
      </c>
      <c r="B37" s="80" t="s">
        <v>103</v>
      </c>
      <c r="C37" s="86">
        <f>+'Year 6-15 SOP'!J19</f>
        <v>405.8102500049368</v>
      </c>
      <c r="D37" s="95">
        <v>1</v>
      </c>
      <c r="E37" s="86">
        <f t="shared" si="1"/>
        <v>405.8102500049368</v>
      </c>
    </row>
    <row r="38" spans="1:5" ht="12.75">
      <c r="A38" s="52"/>
      <c r="B38" s="80"/>
      <c r="C38" s="86"/>
      <c r="D38" s="86"/>
      <c r="E38" s="86"/>
    </row>
    <row r="39" spans="1:5" ht="12.75">
      <c r="A39" s="52" t="s">
        <v>109</v>
      </c>
      <c r="B39" s="80"/>
      <c r="C39" s="86"/>
      <c r="D39" s="86"/>
      <c r="E39" s="86">
        <f>SUM(E30:E37)</f>
        <v>1904.987479158783</v>
      </c>
    </row>
    <row r="40" spans="1:5" ht="12.75">
      <c r="A40" s="52"/>
      <c r="B40" s="80"/>
      <c r="C40" s="86"/>
      <c r="D40" s="86"/>
      <c r="E40" s="86"/>
    </row>
    <row r="41" spans="1:5" ht="12.75">
      <c r="A41" s="103" t="s">
        <v>108</v>
      </c>
      <c r="B41" s="80"/>
      <c r="C41" s="86"/>
      <c r="D41" s="86"/>
      <c r="E41" s="86">
        <f>+E39+E27</f>
        <v>4181.274268179608</v>
      </c>
    </row>
    <row r="42" spans="1:5" ht="12.75">
      <c r="A42" s="103"/>
      <c r="B42" s="80"/>
      <c r="C42" s="86"/>
      <c r="D42" s="86"/>
      <c r="E42" s="86"/>
    </row>
    <row r="43" spans="1:5" ht="13.5" thickBot="1">
      <c r="A43" s="79" t="s">
        <v>144</v>
      </c>
      <c r="B43" s="90"/>
      <c r="C43" s="91"/>
      <c r="D43" s="91"/>
      <c r="E43" s="91">
        <f>+E5-E41</f>
        <v>508.72573182039196</v>
      </c>
    </row>
    <row r="46" s="15" customFormat="1" ht="18" customHeight="1"/>
  </sheetData>
  <sheetProtection/>
  <mergeCells count="1">
    <mergeCell ref="A1:E1"/>
  </mergeCells>
  <printOptions/>
  <pageMargins left="1.26" right="0.39" top="1" bottom="1" header="0.5" footer="0.5"/>
  <pageSetup horizontalDpi="600" verticalDpi="600" orientation="portrait" r:id="rId1"/>
  <headerFooter alignWithMargins="0">
    <oddFooter>&amp;L&amp;Z&amp;F&amp;R&amp;D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L3"/>
  <sheetViews>
    <sheetView zoomScalePageLayoutView="0" workbookViewId="0" topLeftCell="A1">
      <selection activeCell="N15" sqref="N15"/>
    </sheetView>
  </sheetViews>
  <sheetFormatPr defaultColWidth="9.140625" defaultRowHeight="12.75"/>
  <sheetData>
    <row r="2" spans="2:12" ht="20.25">
      <c r="B2" s="45"/>
      <c r="C2" s="114" t="s">
        <v>309</v>
      </c>
      <c r="D2" s="114"/>
      <c r="E2" s="114"/>
      <c r="F2" s="114"/>
      <c r="G2" s="114"/>
      <c r="H2" s="114"/>
      <c r="I2" s="114"/>
      <c r="J2" s="114"/>
      <c r="K2" s="114"/>
      <c r="L2" s="45"/>
    </row>
    <row r="3" spans="2:12" ht="20.25">
      <c r="B3" s="45"/>
      <c r="C3" s="114" t="s">
        <v>310</v>
      </c>
      <c r="D3" s="114"/>
      <c r="E3" s="114"/>
      <c r="F3" s="114"/>
      <c r="G3" s="114"/>
      <c r="H3" s="114"/>
      <c r="I3" s="114"/>
      <c r="J3" s="114"/>
      <c r="K3" s="114"/>
      <c r="L3" s="45"/>
    </row>
  </sheetData>
  <sheetProtection/>
  <mergeCells count="2">
    <mergeCell ref="C2:K2"/>
    <mergeCell ref="C3:K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2.140625" style="0" customWidth="1"/>
    <col min="3" max="3" width="11.28125" style="0" bestFit="1" customWidth="1"/>
    <col min="4" max="4" width="11.8515625" style="0" customWidth="1"/>
    <col min="5" max="5" width="12.8515625" style="0" customWidth="1"/>
    <col min="6" max="6" width="12.140625" style="10" customWidth="1"/>
    <col min="7" max="7" width="15.28125" style="0" customWidth="1"/>
    <col min="8" max="8" width="13.140625" style="0" customWidth="1"/>
    <col min="9" max="9" width="9.7109375" style="0" bestFit="1" customWidth="1"/>
    <col min="10" max="10" width="10.28125" style="0" customWidth="1"/>
  </cols>
  <sheetData>
    <row r="1" spans="1:8" ht="18">
      <c r="A1" s="115" t="s">
        <v>163</v>
      </c>
      <c r="B1" s="115"/>
      <c r="C1" s="115"/>
      <c r="D1" s="115"/>
      <c r="E1" s="115"/>
      <c r="F1" s="115"/>
      <c r="G1" s="115"/>
      <c r="H1" s="115"/>
    </row>
    <row r="2" spans="1:8" ht="11.25" customHeight="1">
      <c r="A2" s="59"/>
      <c r="B2" s="59"/>
      <c r="C2" s="59"/>
      <c r="D2" s="59"/>
      <c r="E2" s="59"/>
      <c r="F2" s="59"/>
      <c r="G2" s="59"/>
      <c r="H2" s="59"/>
    </row>
    <row r="3" spans="1:8" ht="12.75">
      <c r="A3" s="49" t="s">
        <v>164</v>
      </c>
      <c r="B3" s="45"/>
      <c r="C3" s="45"/>
      <c r="D3" s="45"/>
      <c r="E3" s="45"/>
      <c r="F3" s="46"/>
      <c r="G3" s="45"/>
      <c r="H3" s="45"/>
    </row>
    <row r="4" spans="1:8" ht="12.75">
      <c r="A4" s="45"/>
      <c r="B4" s="45"/>
      <c r="C4" s="47" t="s">
        <v>165</v>
      </c>
      <c r="D4" s="47" t="s">
        <v>166</v>
      </c>
      <c r="E4" s="47" t="s">
        <v>241</v>
      </c>
      <c r="F4" s="48" t="s">
        <v>168</v>
      </c>
      <c r="G4" s="47" t="s">
        <v>169</v>
      </c>
      <c r="H4" s="47" t="s">
        <v>170</v>
      </c>
    </row>
    <row r="5" spans="1:8" ht="12.75">
      <c r="A5" s="45" t="s">
        <v>143</v>
      </c>
      <c r="B5" s="45" t="s">
        <v>173</v>
      </c>
      <c r="C5" s="53">
        <v>0.67</v>
      </c>
      <c r="D5" s="53">
        <v>0.67</v>
      </c>
      <c r="E5" s="53">
        <v>0.67</v>
      </c>
      <c r="F5" s="53">
        <v>0.67</v>
      </c>
      <c r="G5" s="53">
        <v>0.67</v>
      </c>
      <c r="H5" s="53">
        <v>0.67</v>
      </c>
    </row>
    <row r="6" spans="1:8" ht="12.75">
      <c r="A6" s="45" t="s">
        <v>171</v>
      </c>
      <c r="B6" s="45" t="s">
        <v>172</v>
      </c>
      <c r="C6" s="54">
        <v>0</v>
      </c>
      <c r="D6" s="55">
        <f>1000</f>
        <v>1000</v>
      </c>
      <c r="E6" s="55">
        <v>3000</v>
      </c>
      <c r="F6" s="55">
        <v>4500</v>
      </c>
      <c r="G6" s="55">
        <v>6000</v>
      </c>
      <c r="H6" s="55">
        <v>7000</v>
      </c>
    </row>
    <row r="7" spans="1:8" ht="11.25" customHeight="1">
      <c r="A7" s="109"/>
      <c r="B7" s="109"/>
      <c r="C7" s="109"/>
      <c r="D7" s="109"/>
      <c r="E7" s="109"/>
      <c r="F7" s="110"/>
      <c r="G7" s="109"/>
      <c r="H7" s="109"/>
    </row>
    <row r="8" spans="1:8" ht="12.75">
      <c r="A8" s="50" t="s">
        <v>111</v>
      </c>
      <c r="B8" s="50" t="s">
        <v>81</v>
      </c>
      <c r="C8" s="51" t="s">
        <v>268</v>
      </c>
      <c r="D8" s="52"/>
      <c r="E8" s="109"/>
      <c r="F8" s="110"/>
      <c r="G8" s="109"/>
      <c r="H8" s="109"/>
    </row>
    <row r="9" spans="1:8" ht="12.75">
      <c r="A9" s="52" t="s">
        <v>174</v>
      </c>
      <c r="B9" s="52" t="s">
        <v>175</v>
      </c>
      <c r="C9" s="53">
        <v>80</v>
      </c>
      <c r="D9" s="52"/>
      <c r="E9" s="109"/>
      <c r="F9" s="110"/>
      <c r="G9" s="116"/>
      <c r="H9" s="116"/>
    </row>
    <row r="10" spans="1:8" ht="12.75">
      <c r="A10" s="52" t="s">
        <v>89</v>
      </c>
      <c r="B10" s="52" t="s">
        <v>114</v>
      </c>
      <c r="C10" s="53">
        <v>0.57</v>
      </c>
      <c r="D10" s="52"/>
      <c r="E10" s="109"/>
      <c r="F10" s="110"/>
      <c r="G10" s="109"/>
      <c r="H10" s="109"/>
    </row>
    <row r="11" spans="1:8" ht="12.75">
      <c r="A11" s="52" t="s">
        <v>87</v>
      </c>
      <c r="B11" s="52" t="s">
        <v>114</v>
      </c>
      <c r="C11" s="53">
        <v>0.75</v>
      </c>
      <c r="D11" s="52"/>
      <c r="E11" s="109"/>
      <c r="F11" s="110"/>
      <c r="G11" s="109"/>
      <c r="H11" s="109"/>
    </row>
    <row r="12" spans="1:4" ht="12.75">
      <c r="A12" s="52" t="s">
        <v>88</v>
      </c>
      <c r="B12" s="52" t="s">
        <v>114</v>
      </c>
      <c r="C12" s="53">
        <v>0.84</v>
      </c>
      <c r="D12" s="52"/>
    </row>
    <row r="13" spans="1:4" ht="12.75">
      <c r="A13" s="52" t="s">
        <v>90</v>
      </c>
      <c r="B13" s="52" t="s">
        <v>115</v>
      </c>
      <c r="C13" s="53">
        <v>36</v>
      </c>
      <c r="D13" s="52"/>
    </row>
    <row r="14" spans="1:4" ht="12.75">
      <c r="A14" s="52" t="s">
        <v>91</v>
      </c>
      <c r="B14" s="52" t="s">
        <v>114</v>
      </c>
      <c r="C14" s="53">
        <v>13.33</v>
      </c>
      <c r="D14" s="52"/>
    </row>
    <row r="15" spans="1:4" ht="12.75">
      <c r="A15" s="52" t="s">
        <v>118</v>
      </c>
      <c r="B15" s="52" t="s">
        <v>115</v>
      </c>
      <c r="C15" s="53">
        <v>16.05</v>
      </c>
      <c r="D15" s="52"/>
    </row>
    <row r="16" spans="1:4" ht="12.75">
      <c r="A16" s="52" t="s">
        <v>162</v>
      </c>
      <c r="B16" s="52" t="s">
        <v>115</v>
      </c>
      <c r="C16" s="53">
        <v>147.36</v>
      </c>
      <c r="D16" s="52"/>
    </row>
    <row r="17" spans="1:4" ht="12.75">
      <c r="A17" s="52" t="s">
        <v>119</v>
      </c>
      <c r="B17" s="52" t="s">
        <v>115</v>
      </c>
      <c r="C17" s="53">
        <v>35</v>
      </c>
      <c r="D17" s="52"/>
    </row>
    <row r="18" spans="1:4" ht="12.75">
      <c r="A18" s="52" t="s">
        <v>138</v>
      </c>
      <c r="B18" s="52" t="s">
        <v>115</v>
      </c>
      <c r="C18" s="53">
        <v>20</v>
      </c>
      <c r="D18" s="52"/>
    </row>
    <row r="19" spans="1:4" ht="12.75">
      <c r="A19" s="52" t="s">
        <v>133</v>
      </c>
      <c r="B19" s="52" t="s">
        <v>114</v>
      </c>
      <c r="C19" s="53">
        <v>6.05</v>
      </c>
      <c r="D19" s="52"/>
    </row>
    <row r="20" spans="1:4" ht="12.75">
      <c r="A20" s="52" t="s">
        <v>239</v>
      </c>
      <c r="B20" s="52" t="s">
        <v>114</v>
      </c>
      <c r="C20" s="53">
        <v>13</v>
      </c>
      <c r="D20" s="52"/>
    </row>
    <row r="21" spans="1:4" ht="12.75">
      <c r="A21" s="52" t="s">
        <v>279</v>
      </c>
      <c r="B21" s="52" t="s">
        <v>115</v>
      </c>
      <c r="C21" s="53">
        <v>3.25</v>
      </c>
      <c r="D21" s="52"/>
    </row>
    <row r="22" spans="1:4" ht="12.75">
      <c r="A22" s="52" t="s">
        <v>280</v>
      </c>
      <c r="B22" s="52" t="s">
        <v>115</v>
      </c>
      <c r="C22" s="53">
        <v>2.25</v>
      </c>
      <c r="D22" s="52"/>
    </row>
    <row r="23" spans="1:4" ht="12.75">
      <c r="A23" s="52"/>
      <c r="B23" s="52"/>
      <c r="C23" s="52"/>
      <c r="D23" s="52"/>
    </row>
    <row r="24" spans="1:4" ht="12.75">
      <c r="A24" s="50" t="s">
        <v>181</v>
      </c>
      <c r="B24" s="52"/>
      <c r="C24" s="52"/>
      <c r="D24" s="52"/>
    </row>
    <row r="25" spans="1:4" ht="12.75">
      <c r="A25" s="52" t="s">
        <v>182</v>
      </c>
      <c r="B25" s="52" t="s">
        <v>114</v>
      </c>
      <c r="C25" s="53">
        <v>0.22</v>
      </c>
      <c r="D25" s="52"/>
    </row>
    <row r="26" spans="1:4" ht="12.75">
      <c r="A26" s="52" t="s">
        <v>183</v>
      </c>
      <c r="B26" s="52" t="s">
        <v>114</v>
      </c>
      <c r="C26" s="53">
        <v>0.01</v>
      </c>
      <c r="D26" s="52"/>
    </row>
    <row r="27" spans="1:4" ht="12.75">
      <c r="A27" s="52" t="s">
        <v>180</v>
      </c>
      <c r="B27" s="52" t="s">
        <v>114</v>
      </c>
      <c r="C27" s="53">
        <v>0.02</v>
      </c>
      <c r="D27" s="52"/>
    </row>
    <row r="28" spans="1:4" ht="12.75">
      <c r="A28" s="52"/>
      <c r="B28" s="52"/>
      <c r="C28" s="52"/>
      <c r="D28" s="52"/>
    </row>
    <row r="29" spans="1:4" ht="12.75">
      <c r="A29" s="50" t="s">
        <v>112</v>
      </c>
      <c r="B29" s="52"/>
      <c r="C29" s="52"/>
      <c r="D29" s="52"/>
    </row>
    <row r="30" spans="1:4" ht="12.75">
      <c r="A30" s="52" t="s">
        <v>63</v>
      </c>
      <c r="B30" s="52" t="s">
        <v>117</v>
      </c>
      <c r="C30" s="53">
        <v>50</v>
      </c>
      <c r="D30" s="52"/>
    </row>
    <row r="31" spans="1:4" ht="12.75">
      <c r="A31" s="52" t="s">
        <v>64</v>
      </c>
      <c r="B31" s="52" t="s">
        <v>117</v>
      </c>
      <c r="C31" s="53">
        <v>300</v>
      </c>
      <c r="D31" s="52"/>
    </row>
    <row r="32" spans="1:4" ht="12.75">
      <c r="A32" s="52" t="s">
        <v>65</v>
      </c>
      <c r="B32" s="52" t="s">
        <v>117</v>
      </c>
      <c r="C32" s="53">
        <v>20</v>
      </c>
      <c r="D32" s="52"/>
    </row>
    <row r="33" spans="1:4" ht="12.75">
      <c r="A33" s="52" t="s">
        <v>116</v>
      </c>
      <c r="B33" s="52" t="s">
        <v>117</v>
      </c>
      <c r="C33" s="53">
        <v>7.5</v>
      </c>
      <c r="D33" s="52"/>
    </row>
    <row r="34" spans="1:4" ht="12.75">
      <c r="A34" s="52" t="s">
        <v>113</v>
      </c>
      <c r="B34" s="52" t="s">
        <v>117</v>
      </c>
      <c r="C34" s="53">
        <v>7.5</v>
      </c>
      <c r="D34" s="52"/>
    </row>
    <row r="35" spans="1:4" ht="12.75">
      <c r="A35" s="52" t="s">
        <v>79</v>
      </c>
      <c r="B35" s="52" t="s">
        <v>117</v>
      </c>
      <c r="C35" s="53">
        <v>150</v>
      </c>
      <c r="D35" s="52"/>
    </row>
    <row r="36" spans="1:4" ht="12.75">
      <c r="A36" s="52"/>
      <c r="B36" s="52"/>
      <c r="C36" s="52"/>
      <c r="D36" s="52"/>
    </row>
    <row r="37" spans="1:6" s="24" customFormat="1" ht="12.75">
      <c r="A37" s="50" t="s">
        <v>52</v>
      </c>
      <c r="B37" s="50"/>
      <c r="C37" s="50"/>
      <c r="D37" s="50"/>
      <c r="F37" s="56"/>
    </row>
    <row r="38" spans="1:4" ht="12.75">
      <c r="A38" s="52" t="s">
        <v>177</v>
      </c>
      <c r="B38" s="52" t="s">
        <v>117</v>
      </c>
      <c r="C38" s="53">
        <v>60</v>
      </c>
      <c r="D38" s="52"/>
    </row>
    <row r="39" spans="1:4" ht="12.75">
      <c r="A39" s="52" t="s">
        <v>178</v>
      </c>
      <c r="B39" s="52" t="s">
        <v>117</v>
      </c>
      <c r="C39" s="53">
        <v>50</v>
      </c>
      <c r="D39" s="52"/>
    </row>
    <row r="40" spans="1:4" ht="12.75">
      <c r="A40" s="52"/>
      <c r="B40" s="52"/>
      <c r="C40" s="53"/>
      <c r="D40" s="52"/>
    </row>
    <row r="41" spans="1:4" ht="12.75">
      <c r="A41" s="50" t="s">
        <v>275</v>
      </c>
      <c r="B41" s="52"/>
      <c r="C41" s="50"/>
      <c r="D41" s="52"/>
    </row>
    <row r="42" spans="1:4" ht="12.75">
      <c r="A42" s="52" t="s">
        <v>58</v>
      </c>
      <c r="B42" s="52" t="s">
        <v>117</v>
      </c>
      <c r="C42" s="53">
        <v>60</v>
      </c>
      <c r="D42" s="52"/>
    </row>
    <row r="43" spans="1:4" ht="12.75">
      <c r="A43" s="52" t="s">
        <v>237</v>
      </c>
      <c r="B43" s="52" t="s">
        <v>117</v>
      </c>
      <c r="C43" s="53">
        <f>+((4*750)+(11*500))/15</f>
        <v>566.6666666666666</v>
      </c>
      <c r="D43" s="52"/>
    </row>
    <row r="44" spans="1:4" ht="12.75">
      <c r="A44" s="52" t="s">
        <v>145</v>
      </c>
      <c r="B44" s="52" t="s">
        <v>117</v>
      </c>
      <c r="C44" s="53">
        <v>134.6</v>
      </c>
      <c r="D44" s="52"/>
    </row>
    <row r="45" spans="1:4" ht="12.75">
      <c r="A45" s="52" t="s">
        <v>147</v>
      </c>
      <c r="B45" s="52" t="s">
        <v>117</v>
      </c>
      <c r="C45" s="53">
        <v>152.15</v>
      </c>
      <c r="D45" s="52"/>
    </row>
    <row r="46" spans="1:4" ht="12.75">
      <c r="A46" s="52" t="s">
        <v>308</v>
      </c>
      <c r="B46" s="52" t="s">
        <v>276</v>
      </c>
      <c r="C46" s="53">
        <v>14</v>
      </c>
      <c r="D46" s="52"/>
    </row>
    <row r="47" spans="1:4" ht="12.75">
      <c r="A47" s="52" t="s">
        <v>189</v>
      </c>
      <c r="B47" s="52" t="s">
        <v>179</v>
      </c>
      <c r="C47" s="57">
        <v>0.17</v>
      </c>
      <c r="D47" s="52"/>
    </row>
    <row r="48" spans="1:4" ht="12.75">
      <c r="A48" s="52" t="s">
        <v>148</v>
      </c>
      <c r="B48" s="52" t="s">
        <v>179</v>
      </c>
      <c r="C48" s="58">
        <v>0.05</v>
      </c>
      <c r="D48" s="52"/>
    </row>
    <row r="49" spans="1:4" ht="12.75">
      <c r="A49" s="52" t="s">
        <v>110</v>
      </c>
      <c r="B49" s="52" t="s">
        <v>179</v>
      </c>
      <c r="C49" s="58">
        <v>0.0775</v>
      </c>
      <c r="D49" s="52"/>
    </row>
    <row r="50" spans="1:4" ht="12.75">
      <c r="A50" s="52" t="s">
        <v>281</v>
      </c>
      <c r="B50" s="52" t="s">
        <v>179</v>
      </c>
      <c r="C50" s="58">
        <v>0.07</v>
      </c>
      <c r="D50" s="52"/>
    </row>
    <row r="51" spans="1:4" ht="12.75">
      <c r="A51" s="52" t="s">
        <v>269</v>
      </c>
      <c r="B51" s="52" t="s">
        <v>179</v>
      </c>
      <c r="C51" s="58">
        <v>0.07</v>
      </c>
      <c r="D51" s="52"/>
    </row>
    <row r="52" ht="12.75">
      <c r="C52" s="24"/>
    </row>
    <row r="54" spans="1:8" s="29" customFormat="1" ht="25.5">
      <c r="A54" s="66" t="s">
        <v>240</v>
      </c>
      <c r="B54" s="60"/>
      <c r="C54" s="60" t="s">
        <v>246</v>
      </c>
      <c r="D54" s="60" t="s">
        <v>247</v>
      </c>
      <c r="E54" s="60" t="s">
        <v>270</v>
      </c>
      <c r="F54" s="61" t="s">
        <v>271</v>
      </c>
      <c r="G54" s="60" t="s">
        <v>245</v>
      </c>
      <c r="H54" s="60" t="s">
        <v>271</v>
      </c>
    </row>
    <row r="55" spans="1:8" ht="12.75">
      <c r="A55" s="62" t="s">
        <v>165</v>
      </c>
      <c r="B55" s="62"/>
      <c r="C55" s="63">
        <f>+'Year 1 IS'!E30+'Year 1 IS'!E33+'Year 1 IS'!E36+'Year 1 IS'!E37+'Year 1 IS'!E35</f>
        <v>3228.8728400112454</v>
      </c>
      <c r="D55" s="63">
        <f>+'Year 1 IS'!E5</f>
        <v>0</v>
      </c>
      <c r="E55" s="63">
        <f>+D55-C55</f>
        <v>-3228.8728400112454</v>
      </c>
      <c r="F55" s="63">
        <v>0</v>
      </c>
      <c r="G55" s="63">
        <f>+'Year 1 IS'!E45</f>
        <v>-4124.028954947143</v>
      </c>
      <c r="H55" s="63">
        <v>0</v>
      </c>
    </row>
    <row r="56" spans="1:8" ht="12.75">
      <c r="A56" s="62" t="s">
        <v>166</v>
      </c>
      <c r="B56" s="62"/>
      <c r="C56" s="63">
        <f>+'Year 2 IS'!E26+'Year 2 IS'!E29+'Year 2 IS'!E31+'Year 2 IS'!E32+'Year 2 IS'!E33</f>
        <v>1002.3925162493241</v>
      </c>
      <c r="D56" s="63">
        <f>+'Year 2 IS'!E5</f>
        <v>670</v>
      </c>
      <c r="E56" s="63">
        <f>+D56-C56</f>
        <v>-332.3925162493241</v>
      </c>
      <c r="F56" s="63">
        <f>+E55*C51</f>
        <v>-226.0210988007872</v>
      </c>
      <c r="G56" s="63">
        <f>+'Year 2 IS'!E42</f>
        <v>-1451.5177674860088</v>
      </c>
      <c r="H56" s="63">
        <f>+G55*C51</f>
        <v>-288.6820268463</v>
      </c>
    </row>
    <row r="57" spans="1:8" ht="12.75">
      <c r="A57" s="62" t="s">
        <v>241</v>
      </c>
      <c r="B57" s="62"/>
      <c r="C57" s="63">
        <f>+'Year 3 IS'!E27+'Year 3 IS'!E30+'Year 3 IS'!E32+'Year 3 IS'!E33+'Year 3 IS'!E34</f>
        <v>1671.6532580977487</v>
      </c>
      <c r="D57" s="63">
        <f>+'Year 3 IS'!E5</f>
        <v>2010.0000000000002</v>
      </c>
      <c r="E57" s="63">
        <f>+D57-C57</f>
        <v>338.34674190225155</v>
      </c>
      <c r="F57" s="63">
        <f>(+E56+E55)*C51</f>
        <v>-249.2885749382399</v>
      </c>
      <c r="G57" s="63">
        <f>+'Year 3 IS'!E43</f>
        <v>-812.876618112911</v>
      </c>
      <c r="H57" s="63">
        <f>+(G56+G55)*C51</f>
        <v>-390.28827057032066</v>
      </c>
    </row>
    <row r="58" spans="1:8" ht="12.75">
      <c r="A58" s="62" t="s">
        <v>168</v>
      </c>
      <c r="B58" s="62"/>
      <c r="C58" s="63">
        <f>+'Year 4 IS'!E27+'Year 4 IS'!E30+'Year 4 IS'!E32+'Year 4 IS'!E33+'Year 4 IS'!E34</f>
        <v>2134.206316431082</v>
      </c>
      <c r="D58" s="63">
        <f>+'Year 4 IS'!E5</f>
        <v>3015</v>
      </c>
      <c r="E58" s="63">
        <f>+D58-C58</f>
        <v>880.7936835689179</v>
      </c>
      <c r="F58" s="63">
        <f>+(E55+E56+E57)*C51</f>
        <v>-225.6043030050823</v>
      </c>
      <c r="G58" s="63">
        <f>+'Year 4 IS'!E43</f>
        <v>-246.74540451308712</v>
      </c>
      <c r="H58" s="63">
        <f>+(G57+G56+G55)*C51</f>
        <v>-447.18963383822444</v>
      </c>
    </row>
    <row r="59" spans="1:8" ht="12.75">
      <c r="A59" s="62"/>
      <c r="B59" s="62"/>
      <c r="C59" s="62"/>
      <c r="D59" s="62"/>
      <c r="E59" s="62"/>
      <c r="F59" s="64"/>
      <c r="G59" s="65"/>
      <c r="H59" s="62"/>
    </row>
    <row r="60" spans="1:8" ht="12.75">
      <c r="A60" s="62" t="s">
        <v>272</v>
      </c>
      <c r="B60" s="62"/>
      <c r="C60" s="62"/>
      <c r="D60" s="62"/>
      <c r="E60" s="62"/>
      <c r="F60" s="63">
        <f>+E55+E56+E57+E58+F56+F57+F58</f>
        <v>-3043.0389075335097</v>
      </c>
      <c r="G60" s="62"/>
      <c r="H60" s="63">
        <f>+G55+G56+G57+G58+H56+H57+H58</f>
        <v>-7761.328676313995</v>
      </c>
    </row>
    <row r="61" spans="1:8" ht="12.75">
      <c r="A61" s="62" t="s">
        <v>273</v>
      </c>
      <c r="B61" s="62"/>
      <c r="C61" s="62"/>
      <c r="D61" s="62"/>
      <c r="E61" s="62"/>
      <c r="F61" s="62">
        <v>11</v>
      </c>
      <c r="G61" s="62"/>
      <c r="H61" s="62">
        <v>11</v>
      </c>
    </row>
    <row r="62" spans="1:10" ht="12.75">
      <c r="A62" s="62" t="s">
        <v>274</v>
      </c>
      <c r="B62" s="62"/>
      <c r="C62" s="62"/>
      <c r="D62" s="62"/>
      <c r="E62" s="62"/>
      <c r="F62" s="65">
        <f>PMT(C51,F61,F60)</f>
        <v>405.8102500049368</v>
      </c>
      <c r="G62" s="62"/>
      <c r="H62" s="65">
        <f>PMT(C51,H61,H60)</f>
        <v>1035.0267696900237</v>
      </c>
      <c r="J62" s="19"/>
    </row>
    <row r="71" ht="12.75">
      <c r="C71" s="10"/>
    </row>
    <row r="74" ht="12.75">
      <c r="C74" s="26"/>
    </row>
  </sheetData>
  <sheetProtection/>
  <mergeCells count="2">
    <mergeCell ref="A1:H1"/>
    <mergeCell ref="G9:H9"/>
  </mergeCells>
  <printOptions/>
  <pageMargins left="0.75" right="0.75" top="1" bottom="1" header="0.5" footer="0.5"/>
  <pageSetup fitToHeight="1" fitToWidth="1" horizontalDpi="600" verticalDpi="600" orientation="portrait" scale="77" r:id="rId1"/>
  <headerFooter alignWithMargins="0">
    <oddFooter>&amp;L&amp;Z&amp;F&amp;R&amp;D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7.7109375" style="0" customWidth="1"/>
    <col min="2" max="2" width="11.8515625" style="0" customWidth="1"/>
    <col min="3" max="3" width="12.140625" style="0" customWidth="1"/>
    <col min="4" max="5" width="10.57421875" style="0" customWidth="1"/>
    <col min="6" max="6" width="10.28125" style="0" customWidth="1"/>
    <col min="7" max="7" width="10.421875" style="0" customWidth="1"/>
  </cols>
  <sheetData>
    <row r="1" spans="1:7" ht="16.5" thickBot="1">
      <c r="A1" s="117" t="s">
        <v>293</v>
      </c>
      <c r="B1" s="117"/>
      <c r="C1" s="117"/>
      <c r="D1" s="117"/>
      <c r="E1" s="117"/>
      <c r="F1" s="117"/>
      <c r="G1" s="117"/>
    </row>
    <row r="2" spans="1:7" ht="15.75">
      <c r="A2" s="32"/>
      <c r="B2" s="33"/>
      <c r="C2" s="33"/>
      <c r="D2" s="33"/>
      <c r="E2" s="33"/>
      <c r="F2" s="33"/>
      <c r="G2" s="33" t="s">
        <v>252</v>
      </c>
    </row>
    <row r="3" spans="1:7" ht="15.75">
      <c r="A3" s="41"/>
      <c r="B3" s="42" t="s">
        <v>165</v>
      </c>
      <c r="C3" s="42" t="s">
        <v>166</v>
      </c>
      <c r="D3" s="42" t="s">
        <v>241</v>
      </c>
      <c r="E3" s="42" t="s">
        <v>168</v>
      </c>
      <c r="F3" s="42" t="s">
        <v>169</v>
      </c>
      <c r="G3" s="42" t="s">
        <v>253</v>
      </c>
    </row>
    <row r="4" spans="1:7" ht="15.75">
      <c r="A4" s="35"/>
      <c r="B4" s="118" t="s">
        <v>260</v>
      </c>
      <c r="C4" s="118"/>
      <c r="D4" s="118"/>
      <c r="E4" s="118"/>
      <c r="F4" s="118"/>
      <c r="G4" s="118"/>
    </row>
    <row r="5" spans="1:7" ht="15.75">
      <c r="A5" s="35" t="s">
        <v>247</v>
      </c>
      <c r="B5" s="37"/>
      <c r="C5" s="36"/>
      <c r="D5" s="36"/>
      <c r="E5" s="36"/>
      <c r="F5" s="36"/>
      <c r="G5" s="36"/>
    </row>
    <row r="6" spans="1:7" ht="15.75">
      <c r="A6" s="35" t="s">
        <v>249</v>
      </c>
      <c r="B6" s="39">
        <f>+'Year 1 IS'!D5</f>
        <v>0</v>
      </c>
      <c r="C6" s="39">
        <f>+'Year 2 IS'!D5</f>
        <v>1000</v>
      </c>
      <c r="D6" s="39">
        <f>+'Year 3 IS'!D5</f>
        <v>3000</v>
      </c>
      <c r="E6" s="39">
        <f>+'Year 4 IS'!D5</f>
        <v>4500</v>
      </c>
      <c r="F6" s="39">
        <f>+'Year 5 IS'!D5</f>
        <v>6000</v>
      </c>
      <c r="G6" s="39">
        <f>+'Year 6-15 IS '!D5</f>
        <v>7000</v>
      </c>
    </row>
    <row r="7" spans="1:7" ht="15.75">
      <c r="A7" s="35" t="s">
        <v>251</v>
      </c>
      <c r="B7" s="39">
        <f>+'Year 1 IS'!C5</f>
        <v>0.67</v>
      </c>
      <c r="C7" s="39">
        <f>+'Year 2 IS'!C5</f>
        <v>0.67</v>
      </c>
      <c r="D7" s="39">
        <f>+'Year 3 IS'!C5</f>
        <v>0.67</v>
      </c>
      <c r="E7" s="39">
        <f>+'Year 4 IS'!C5</f>
        <v>0.67</v>
      </c>
      <c r="F7" s="39">
        <f>+'Year 5 IS'!C5</f>
        <v>0.67</v>
      </c>
      <c r="G7" s="39">
        <v>0.67</v>
      </c>
    </row>
    <row r="8" spans="1:7" ht="15.75">
      <c r="A8" s="35" t="s">
        <v>250</v>
      </c>
      <c r="B8" s="39">
        <f>+'Year 1 IS'!E5</f>
        <v>0</v>
      </c>
      <c r="C8" s="39">
        <f>+'Year 2 IS'!E5</f>
        <v>670</v>
      </c>
      <c r="D8" s="39">
        <f>+'Year 3 IS'!E5</f>
        <v>2010.0000000000002</v>
      </c>
      <c r="E8" s="39">
        <f>+'Year 4 IS'!E5</f>
        <v>3015</v>
      </c>
      <c r="F8" s="39">
        <f>+'Year 5 IS'!E5</f>
        <v>4020.0000000000005</v>
      </c>
      <c r="G8" s="39">
        <f>+'Year 6-15 IS '!E5</f>
        <v>4690</v>
      </c>
    </row>
    <row r="9" spans="1:7" ht="15.75">
      <c r="A9" s="35"/>
      <c r="B9" s="39"/>
      <c r="C9" s="39"/>
      <c r="D9" s="39"/>
      <c r="E9" s="39"/>
      <c r="F9" s="39"/>
      <c r="G9" s="39"/>
    </row>
    <row r="10" spans="1:7" ht="15.75">
      <c r="A10" s="35" t="s">
        <v>254</v>
      </c>
      <c r="B10" s="39"/>
      <c r="C10" s="39"/>
      <c r="D10" s="39"/>
      <c r="E10" s="39"/>
      <c r="F10" s="39"/>
      <c r="G10" s="39"/>
    </row>
    <row r="11" spans="1:7" ht="15.75">
      <c r="A11" s="35" t="s">
        <v>259</v>
      </c>
      <c r="B11" s="39">
        <f>+'Year 1 IS'!E30</f>
        <v>2947.2809978531254</v>
      </c>
      <c r="C11" s="39">
        <f>+C13-C12</f>
        <v>454.31762836898224</v>
      </c>
      <c r="D11" s="39">
        <f>+D13-D12</f>
        <v>510.7197473541589</v>
      </c>
      <c r="E11" s="39">
        <f>+E13-E12</f>
        <v>600.9538723541586</v>
      </c>
      <c r="F11" s="39">
        <f>+F13-F12</f>
        <v>523.0576223541586</v>
      </c>
      <c r="G11" s="39">
        <f>+G13-G12</f>
        <v>526.2867890208254</v>
      </c>
    </row>
    <row r="12" spans="1:7" ht="15.75">
      <c r="A12" s="35" t="s">
        <v>255</v>
      </c>
      <c r="B12" s="39">
        <v>0</v>
      </c>
      <c r="C12" s="39">
        <f>+'Year 2 IS'!E12+'Year 2 IS'!E13+'Year 2 IS'!E14</f>
        <v>250</v>
      </c>
      <c r="D12" s="39">
        <f>+'Year 3 IS'!E13+'Year 3 IS'!E14+'Year 3 IS'!E15</f>
        <v>750</v>
      </c>
      <c r="E12" s="39">
        <f>+'Year 4 IS'!E13+'Year 4 IS'!E14+'Year 4 IS'!E16</f>
        <v>1042.26</v>
      </c>
      <c r="F12" s="39">
        <f>+'Year 5 IS'!E13+'Year 5 IS'!E14+'Year 5 IS'!E15</f>
        <v>1500</v>
      </c>
      <c r="G12" s="39">
        <f>+'Year 6-15 IS '!E13+'Year 6-15 IS '!E14+'Year 6-15 IS '!E15</f>
        <v>1750</v>
      </c>
    </row>
    <row r="13" spans="1:7" ht="15.75">
      <c r="A13" s="35" t="s">
        <v>157</v>
      </c>
      <c r="B13" s="39">
        <f>+'Year 1 IS'!E30</f>
        <v>2947.2809978531254</v>
      </c>
      <c r="C13" s="39">
        <f>+'Year 2 IS'!E26</f>
        <v>704.3176283689822</v>
      </c>
      <c r="D13" s="39">
        <f>+'Year 3 IS'!E27</f>
        <v>1260.719747354159</v>
      </c>
      <c r="E13" s="39">
        <f>+'Year 4 IS'!E27</f>
        <v>1643.2138723541586</v>
      </c>
      <c r="F13" s="39">
        <f>+'Year 5 IS'!E27</f>
        <v>2023.0576223541586</v>
      </c>
      <c r="G13" s="39">
        <f>+'Year 6-15 IS '!E27</f>
        <v>2276.2867890208254</v>
      </c>
    </row>
    <row r="14" spans="1:7" ht="15.75">
      <c r="A14" s="35"/>
      <c r="B14" s="39"/>
      <c r="C14" s="39"/>
      <c r="D14" s="39"/>
      <c r="E14" s="39"/>
      <c r="F14" s="39"/>
      <c r="G14" s="39"/>
    </row>
    <row r="15" spans="1:7" ht="15.75">
      <c r="A15" s="35" t="s">
        <v>256</v>
      </c>
      <c r="B15" s="39">
        <f>+'Year 1 IS'!E41</f>
        <v>1176.7479570940172</v>
      </c>
      <c r="C15" s="39">
        <f>+'Year 2 IS'!E38</f>
        <v>1417.2001391170268</v>
      </c>
      <c r="D15" s="39">
        <f>+'Year 3 IS'!E39</f>
        <v>1562.1568707587526</v>
      </c>
      <c r="E15" s="39">
        <f>+'Year 4 IS'!E39</f>
        <v>1618.5315321589285</v>
      </c>
      <c r="F15" s="39">
        <f>+'Year 5 IS'!E39</f>
        <v>1862.487479158783</v>
      </c>
      <c r="G15" s="39">
        <f>+'Year 6-15 IS '!E39</f>
        <v>1904.987479158783</v>
      </c>
    </row>
    <row r="16" spans="1:7" ht="15.75">
      <c r="A16" s="35"/>
      <c r="B16" s="39"/>
      <c r="C16" s="39"/>
      <c r="D16" s="39"/>
      <c r="E16" s="39"/>
      <c r="F16" s="39"/>
      <c r="G16" s="39"/>
    </row>
    <row r="17" spans="1:7" ht="15.75">
      <c r="A17" s="35" t="s">
        <v>257</v>
      </c>
      <c r="B17" s="39">
        <f>+'Year 1 IS'!E43</f>
        <v>4124.028954947143</v>
      </c>
      <c r="C17" s="39">
        <f>+'Year 2 IS'!E40</f>
        <v>2121.517767486009</v>
      </c>
      <c r="D17" s="39">
        <f>+'Year 3 IS'!E41</f>
        <v>2822.8766181129113</v>
      </c>
      <c r="E17" s="39">
        <f>+'Year 4 IS'!E41</f>
        <v>3261.745404513087</v>
      </c>
      <c r="F17" s="39">
        <f>+'Year 5 IS'!E41</f>
        <v>3885.5451015129415</v>
      </c>
      <c r="G17" s="39">
        <f>+'Year 6-15 IS '!E41</f>
        <v>4181.274268179608</v>
      </c>
    </row>
    <row r="18" spans="1:7" ht="16.5" thickBot="1">
      <c r="A18" s="34" t="s">
        <v>258</v>
      </c>
      <c r="B18" s="40">
        <f>+'Year 1 IS'!E45</f>
        <v>-4124.028954947143</v>
      </c>
      <c r="C18" s="40">
        <f>+'Year 2 IS'!E42</f>
        <v>-1451.5177674860088</v>
      </c>
      <c r="D18" s="40">
        <f>+'Year 3 IS'!E43</f>
        <v>-812.876618112911</v>
      </c>
      <c r="E18" s="40">
        <f>+'Year 4 IS'!E43</f>
        <v>-246.74540451308712</v>
      </c>
      <c r="F18" s="40">
        <f>+'Year 5 IS'!E43</f>
        <v>134.45489848705893</v>
      </c>
      <c r="G18" s="40">
        <f>+'Year 6-15 IS '!E43</f>
        <v>508.72573182039196</v>
      </c>
    </row>
    <row r="19" spans="1:7" ht="12.75">
      <c r="A19" s="30"/>
      <c r="B19" s="31"/>
      <c r="C19" s="38"/>
      <c r="D19" s="38"/>
      <c r="E19" s="38"/>
      <c r="F19" s="38"/>
      <c r="G19" s="38"/>
    </row>
    <row r="20" spans="2:7" ht="12.75">
      <c r="B20" s="1"/>
      <c r="C20" s="10"/>
      <c r="D20" s="10"/>
      <c r="E20" s="10"/>
      <c r="F20" s="10"/>
      <c r="G20" s="10"/>
    </row>
    <row r="21" spans="2:7" ht="12.75">
      <c r="B21" s="1"/>
      <c r="C21" s="10"/>
      <c r="D21" s="10"/>
      <c r="E21" s="10"/>
      <c r="F21" s="10"/>
      <c r="G21" s="10"/>
    </row>
    <row r="22" spans="2:7" ht="12.75">
      <c r="B22" s="1"/>
      <c r="C22" s="10"/>
      <c r="D22" s="10"/>
      <c r="E22" s="10"/>
      <c r="F22" s="10"/>
      <c r="G22" s="10"/>
    </row>
    <row r="23" spans="2:7" ht="12.75">
      <c r="B23" s="1"/>
      <c r="C23" s="10"/>
      <c r="D23" s="10"/>
      <c r="E23" s="10"/>
      <c r="F23" s="10"/>
      <c r="G23" s="10"/>
    </row>
    <row r="24" spans="2:7" ht="12.75">
      <c r="B24" s="1"/>
      <c r="C24" s="10"/>
      <c r="D24" s="10"/>
      <c r="E24" s="10"/>
      <c r="F24" s="10"/>
      <c r="G24" s="10"/>
    </row>
    <row r="25" spans="2:7" ht="12.75">
      <c r="B25" s="1"/>
      <c r="C25" s="10"/>
      <c r="D25" s="10"/>
      <c r="E25" s="10"/>
      <c r="F25" s="10"/>
      <c r="G25" s="10"/>
    </row>
    <row r="26" spans="2:7" ht="12.75">
      <c r="B26" s="1"/>
      <c r="C26" s="10"/>
      <c r="D26" s="10"/>
      <c r="E26" s="10"/>
      <c r="F26" s="10"/>
      <c r="G26" s="10"/>
    </row>
    <row r="27" spans="2:7" ht="12.75">
      <c r="B27" s="1"/>
      <c r="C27" s="10"/>
      <c r="D27" s="10"/>
      <c r="E27" s="10"/>
      <c r="F27" s="10"/>
      <c r="G27" s="10"/>
    </row>
    <row r="28" spans="2:7" ht="12.75">
      <c r="B28" s="1"/>
      <c r="C28" s="10"/>
      <c r="D28" s="10"/>
      <c r="E28" s="10"/>
      <c r="F28" s="10"/>
      <c r="G28" s="10"/>
    </row>
    <row r="29" spans="2:7" ht="12.75">
      <c r="B29" s="1"/>
      <c r="C29" s="10"/>
      <c r="D29" s="10"/>
      <c r="E29" s="10"/>
      <c r="F29" s="10"/>
      <c r="G29" s="10"/>
    </row>
    <row r="30" spans="2:7" ht="12.75">
      <c r="B30" s="1"/>
      <c r="C30" s="10"/>
      <c r="D30" s="10"/>
      <c r="E30" s="10"/>
      <c r="F30" s="10"/>
      <c r="G30" s="10"/>
    </row>
    <row r="31" spans="2:7" ht="12.75">
      <c r="B31" s="1"/>
      <c r="C31" s="10"/>
      <c r="D31" s="10"/>
      <c r="E31" s="10"/>
      <c r="F31" s="10"/>
      <c r="G31" s="10"/>
    </row>
    <row r="32" spans="2:7" ht="12.75">
      <c r="B32" s="1"/>
      <c r="C32" s="10"/>
      <c r="D32" s="10"/>
      <c r="E32" s="10"/>
      <c r="F32" s="10"/>
      <c r="G32" s="10"/>
    </row>
    <row r="33" spans="2:7" ht="12.75">
      <c r="B33" s="1"/>
      <c r="C33" s="10"/>
      <c r="D33" s="10"/>
      <c r="E33" s="10"/>
      <c r="F33" s="10"/>
      <c r="G33" s="10"/>
    </row>
    <row r="34" spans="2:7" ht="12.75">
      <c r="B34" s="1"/>
      <c r="C34" s="10"/>
      <c r="D34" s="10"/>
      <c r="E34" s="10"/>
      <c r="F34" s="10"/>
      <c r="G34" s="10"/>
    </row>
    <row r="35" spans="2:7" ht="12.75">
      <c r="B35" s="1"/>
      <c r="C35" s="10"/>
      <c r="D35" s="10"/>
      <c r="E35" s="10"/>
      <c r="F35" s="10"/>
      <c r="G35" s="10"/>
    </row>
    <row r="36" spans="2:7" ht="12.75">
      <c r="B36" s="1"/>
      <c r="C36" s="10"/>
      <c r="D36" s="10"/>
      <c r="E36" s="10"/>
      <c r="F36" s="10"/>
      <c r="G36" s="10"/>
    </row>
    <row r="37" spans="2:7" ht="12.75">
      <c r="B37" s="1"/>
      <c r="C37" s="10"/>
      <c r="D37" s="10"/>
      <c r="E37" s="10"/>
      <c r="F37" s="10"/>
      <c r="G37" s="10"/>
    </row>
    <row r="38" spans="2:7" ht="12.75">
      <c r="B38" s="1"/>
      <c r="C38" s="10"/>
      <c r="D38" s="10"/>
      <c r="E38" s="10"/>
      <c r="F38" s="10"/>
      <c r="G38" s="10"/>
    </row>
    <row r="39" spans="1:7" ht="12.75">
      <c r="A39" s="11"/>
      <c r="B39" s="1"/>
      <c r="C39" s="10"/>
      <c r="D39" s="10"/>
      <c r="E39" s="10"/>
      <c r="F39" s="10"/>
      <c r="G39" s="10"/>
    </row>
    <row r="40" spans="2:7" ht="12.75">
      <c r="B40" s="1"/>
      <c r="C40" s="10"/>
      <c r="D40" s="10"/>
      <c r="E40" s="10"/>
      <c r="F40" s="10"/>
      <c r="G40" s="10"/>
    </row>
    <row r="41" spans="2:7" ht="12.75">
      <c r="B41" s="1"/>
      <c r="C41" s="10"/>
      <c r="D41" s="10"/>
      <c r="E41" s="10"/>
      <c r="F41" s="10"/>
      <c r="G41" s="10"/>
    </row>
    <row r="42" spans="2:7" ht="12.75">
      <c r="B42" s="1"/>
      <c r="C42" s="10"/>
      <c r="D42" s="10"/>
      <c r="E42" s="10"/>
      <c r="F42" s="10"/>
      <c r="G42" s="10"/>
    </row>
    <row r="43" spans="2:7" ht="12.75">
      <c r="B43" s="1"/>
      <c r="C43" s="10"/>
      <c r="D43" s="10"/>
      <c r="E43" s="10"/>
      <c r="F43" s="10"/>
      <c r="G43" s="10"/>
    </row>
    <row r="44" spans="2:7" ht="12.75">
      <c r="B44" s="1"/>
      <c r="C44" s="10"/>
      <c r="D44" s="10"/>
      <c r="E44" s="10"/>
      <c r="F44" s="10"/>
      <c r="G44" s="10"/>
    </row>
    <row r="45" spans="1:7" ht="12.75">
      <c r="A45" s="18"/>
      <c r="B45" s="1"/>
      <c r="C45" s="10"/>
      <c r="D45" s="10"/>
      <c r="E45" s="10"/>
      <c r="F45" s="10"/>
      <c r="G45" s="10"/>
    </row>
    <row r="46" spans="1:7" ht="12.75">
      <c r="A46" s="18"/>
      <c r="B46" s="1"/>
      <c r="C46" s="10"/>
      <c r="D46" s="10"/>
      <c r="E46" s="10"/>
      <c r="F46" s="10"/>
      <c r="G46" s="10"/>
    </row>
    <row r="47" spans="1:7" ht="13.5" thickBot="1">
      <c r="A47" s="16"/>
      <c r="B47" s="13"/>
      <c r="C47" s="14"/>
      <c r="D47" s="14"/>
      <c r="E47" s="14"/>
      <c r="F47" s="14"/>
      <c r="G47" s="12"/>
    </row>
    <row r="48" spans="2:7" ht="12.75">
      <c r="B48" s="1"/>
      <c r="G48" s="10"/>
    </row>
  </sheetData>
  <sheetProtection/>
  <mergeCells count="2">
    <mergeCell ref="A1:G1"/>
    <mergeCell ref="B4:G4"/>
  </mergeCells>
  <printOptions/>
  <pageMargins left="0.75" right="0.75" top="1" bottom="1" header="0.5" footer="0.5"/>
  <pageSetup horizontalDpi="600" verticalDpi="600" orientation="portrait" r:id="rId1"/>
  <headerFooter alignWithMargins="0">
    <oddFooter>&amp;L&amp;Z&amp;F&amp;R&amp;D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8.421875" style="3" customWidth="1"/>
    <col min="2" max="2" width="12.140625" style="3" customWidth="1"/>
    <col min="3" max="3" width="10.7109375" style="3" customWidth="1"/>
    <col min="4" max="4" width="11.140625" style="3" customWidth="1"/>
    <col min="5" max="5" width="15.28125" style="3" customWidth="1"/>
    <col min="6" max="16384" width="9.140625" style="3" customWidth="1"/>
  </cols>
  <sheetData>
    <row r="1" spans="1:9" ht="18.75" thickBot="1">
      <c r="A1" s="119" t="s">
        <v>282</v>
      </c>
      <c r="B1" s="119"/>
      <c r="C1" s="119"/>
      <c r="D1" s="119"/>
      <c r="E1" s="119"/>
      <c r="I1" s="67"/>
    </row>
    <row r="2" spans="1:5" ht="12.75">
      <c r="A2" s="68"/>
      <c r="B2" s="69"/>
      <c r="C2" s="69"/>
      <c r="D2" s="69"/>
      <c r="E2" s="69" t="s">
        <v>23</v>
      </c>
    </row>
    <row r="3" spans="1:5" ht="12.75">
      <c r="A3" s="68"/>
      <c r="B3" s="69" t="s">
        <v>17</v>
      </c>
      <c r="C3" s="69" t="s">
        <v>19</v>
      </c>
      <c r="D3" s="69" t="s">
        <v>21</v>
      </c>
      <c r="E3" s="69" t="s">
        <v>24</v>
      </c>
    </row>
    <row r="4" spans="1:5" ht="13.5" thickBot="1">
      <c r="A4" s="70" t="s">
        <v>16</v>
      </c>
      <c r="B4" s="71" t="s">
        <v>18</v>
      </c>
      <c r="C4" s="71" t="s">
        <v>20</v>
      </c>
      <c r="D4" s="71" t="s">
        <v>22</v>
      </c>
      <c r="E4" s="71" t="s">
        <v>20</v>
      </c>
    </row>
    <row r="5" spans="1:5" ht="12.75">
      <c r="A5" s="74" t="s">
        <v>194</v>
      </c>
      <c r="B5" s="75">
        <v>105000</v>
      </c>
      <c r="C5" s="74">
        <v>15</v>
      </c>
      <c r="D5" s="75">
        <v>60000</v>
      </c>
      <c r="E5" s="74">
        <v>1000</v>
      </c>
    </row>
    <row r="6" spans="1:10" ht="12.75">
      <c r="A6" s="74" t="s">
        <v>195</v>
      </c>
      <c r="B6" s="75">
        <v>42000</v>
      </c>
      <c r="C6" s="74">
        <v>15</v>
      </c>
      <c r="D6" s="75">
        <v>28000</v>
      </c>
      <c r="E6" s="74">
        <v>1200</v>
      </c>
      <c r="I6" s="7"/>
      <c r="J6" s="7"/>
    </row>
    <row r="7" spans="1:5" ht="12.75">
      <c r="A7" s="74" t="s">
        <v>26</v>
      </c>
      <c r="B7" s="75">
        <v>10250</v>
      </c>
      <c r="C7" s="74">
        <v>10</v>
      </c>
      <c r="D7" s="75">
        <v>1812</v>
      </c>
      <c r="E7" s="74">
        <v>200</v>
      </c>
    </row>
    <row r="8" spans="1:5" ht="12.75">
      <c r="A8" s="74" t="s">
        <v>30</v>
      </c>
      <c r="B8" s="75">
        <v>3750</v>
      </c>
      <c r="C8" s="74">
        <v>15</v>
      </c>
      <c r="D8" s="75">
        <v>375</v>
      </c>
      <c r="E8" s="74">
        <v>100</v>
      </c>
    </row>
    <row r="9" spans="1:10" ht="12.75">
      <c r="A9" s="74" t="s">
        <v>27</v>
      </c>
      <c r="B9" s="75">
        <v>9500</v>
      </c>
      <c r="C9" s="74">
        <v>15</v>
      </c>
      <c r="D9" s="75">
        <v>912</v>
      </c>
      <c r="E9" s="74">
        <v>100</v>
      </c>
      <c r="I9" s="7"/>
      <c r="J9" s="7"/>
    </row>
    <row r="10" spans="1:10" ht="12.75">
      <c r="A10" s="74" t="s">
        <v>203</v>
      </c>
      <c r="B10" s="75">
        <v>14000</v>
      </c>
      <c r="C10" s="74">
        <v>10</v>
      </c>
      <c r="D10" s="75">
        <v>4500</v>
      </c>
      <c r="E10" s="74">
        <v>100</v>
      </c>
      <c r="I10" s="7"/>
      <c r="J10" s="7"/>
    </row>
    <row r="11" spans="1:5" ht="12.75">
      <c r="A11" s="74" t="s">
        <v>28</v>
      </c>
      <c r="B11" s="75">
        <v>5000</v>
      </c>
      <c r="C11" s="74">
        <v>10</v>
      </c>
      <c r="D11" s="75">
        <v>826</v>
      </c>
      <c r="E11" s="74">
        <v>100</v>
      </c>
    </row>
    <row r="12" spans="1:5" ht="12.75">
      <c r="A12" s="74" t="s">
        <v>29</v>
      </c>
      <c r="B12" s="75">
        <v>2500</v>
      </c>
      <c r="C12" s="74">
        <v>10</v>
      </c>
      <c r="D12" s="75">
        <v>471</v>
      </c>
      <c r="E12" s="74">
        <v>50</v>
      </c>
    </row>
    <row r="13" spans="1:5" ht="12.75">
      <c r="A13" s="74" t="s">
        <v>204</v>
      </c>
      <c r="B13" s="75">
        <v>3300</v>
      </c>
      <c r="C13" s="74">
        <v>10</v>
      </c>
      <c r="D13" s="75">
        <v>1200</v>
      </c>
      <c r="E13" s="74">
        <v>50</v>
      </c>
    </row>
    <row r="14" spans="1:5" ht="12.75">
      <c r="A14" s="74" t="s">
        <v>25</v>
      </c>
      <c r="B14" s="75">
        <v>35000</v>
      </c>
      <c r="C14" s="74">
        <v>4</v>
      </c>
      <c r="D14" s="75">
        <v>15000</v>
      </c>
      <c r="E14" s="74">
        <v>650</v>
      </c>
    </row>
    <row r="15" spans="1:5" ht="12.75">
      <c r="A15" s="74" t="s">
        <v>31</v>
      </c>
      <c r="B15" s="75">
        <v>26000</v>
      </c>
      <c r="C15" s="74">
        <v>8</v>
      </c>
      <c r="D15" s="75">
        <v>5000</v>
      </c>
      <c r="E15" s="74">
        <v>300</v>
      </c>
    </row>
    <row r="16" spans="1:5" ht="12.75">
      <c r="A16" s="68"/>
      <c r="B16" s="72"/>
      <c r="C16" s="68"/>
      <c r="D16" s="68"/>
      <c r="E16" s="68"/>
    </row>
    <row r="17" spans="1:5" ht="12.75">
      <c r="A17" s="68" t="s">
        <v>32</v>
      </c>
      <c r="B17" s="72"/>
      <c r="C17" s="68"/>
      <c r="D17" s="68"/>
      <c r="E17" s="73" t="s">
        <v>277</v>
      </c>
    </row>
    <row r="18" spans="1:5" ht="13.5" thickBot="1">
      <c r="A18" s="76" t="s">
        <v>243</v>
      </c>
      <c r="B18" s="77">
        <v>85000</v>
      </c>
      <c r="C18" s="76">
        <v>30</v>
      </c>
      <c r="D18" s="77">
        <v>0</v>
      </c>
      <c r="E18" s="76">
        <v>40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  <headerFooter alignWithMargins="0">
    <oddFooter>&amp;L&amp;Z&amp;F&amp;R&amp;D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9.57421875" style="3" customWidth="1"/>
    <col min="2" max="2" width="9.7109375" style="3" customWidth="1"/>
    <col min="3" max="3" width="5.421875" style="3" customWidth="1"/>
    <col min="4" max="4" width="7.8515625" style="3" customWidth="1"/>
    <col min="5" max="5" width="7.7109375" style="3" customWidth="1"/>
    <col min="6" max="6" width="8.57421875" style="3" customWidth="1"/>
    <col min="7" max="7" width="9.140625" style="3" customWidth="1"/>
    <col min="8" max="8" width="7.8515625" style="3" customWidth="1"/>
    <col min="9" max="9" width="8.7109375" style="3" customWidth="1"/>
    <col min="10" max="10" width="7.8515625" style="3" customWidth="1"/>
    <col min="11" max="13" width="8.28125" style="3" customWidth="1"/>
    <col min="14" max="14" width="7.421875" style="3" customWidth="1"/>
    <col min="15" max="16384" width="9.140625" style="3" customWidth="1"/>
  </cols>
  <sheetData>
    <row r="1" spans="1:14" ht="18.75" thickBot="1">
      <c r="A1" s="119" t="s">
        <v>283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2.75">
      <c r="A2" s="67"/>
      <c r="B2" s="4"/>
      <c r="C2" s="4" t="s">
        <v>34</v>
      </c>
      <c r="E2" s="4"/>
      <c r="F2" s="4"/>
      <c r="G2" s="4"/>
      <c r="H2" s="4"/>
      <c r="I2" s="4"/>
      <c r="J2" s="4" t="s">
        <v>7</v>
      </c>
      <c r="K2" s="4"/>
      <c r="L2" s="4" t="s">
        <v>10</v>
      </c>
      <c r="M2" s="4" t="s">
        <v>7</v>
      </c>
      <c r="N2" s="4"/>
    </row>
    <row r="3" spans="2:14" ht="12.75">
      <c r="B3" s="4" t="s">
        <v>33</v>
      </c>
      <c r="C3" s="4" t="s">
        <v>35</v>
      </c>
      <c r="D3" s="4" t="s">
        <v>37</v>
      </c>
      <c r="E3" s="4"/>
      <c r="F3" s="4"/>
      <c r="G3" s="4"/>
      <c r="H3" s="4"/>
      <c r="I3" s="4"/>
      <c r="J3" s="4" t="s">
        <v>8</v>
      </c>
      <c r="K3" s="4"/>
      <c r="L3" s="4" t="s">
        <v>42</v>
      </c>
      <c r="M3" s="4" t="s">
        <v>15</v>
      </c>
      <c r="N3" s="4" t="s">
        <v>7</v>
      </c>
    </row>
    <row r="4" spans="1:14" ht="13.5" thickBot="1">
      <c r="A4" s="5" t="s">
        <v>16</v>
      </c>
      <c r="B4" s="6" t="s">
        <v>18</v>
      </c>
      <c r="C4" s="6" t="s">
        <v>36</v>
      </c>
      <c r="D4" s="6" t="s">
        <v>5</v>
      </c>
      <c r="E4" s="6" t="s">
        <v>38</v>
      </c>
      <c r="F4" s="6" t="s">
        <v>14</v>
      </c>
      <c r="G4" s="6" t="s">
        <v>39</v>
      </c>
      <c r="H4" s="6" t="s">
        <v>40</v>
      </c>
      <c r="I4" s="6" t="s">
        <v>41</v>
      </c>
      <c r="J4" s="6" t="s">
        <v>9</v>
      </c>
      <c r="K4" s="6" t="s">
        <v>12</v>
      </c>
      <c r="L4" s="6" t="s">
        <v>11</v>
      </c>
      <c r="M4" s="6" t="s">
        <v>9</v>
      </c>
      <c r="N4" s="6" t="s">
        <v>9</v>
      </c>
    </row>
    <row r="5" spans="1:14" ht="12.75">
      <c r="A5" s="3" t="str">
        <f>+'Machinery Inventory'!A5</f>
        <v>200 HP Tractor</v>
      </c>
      <c r="B5" s="3">
        <f>+'Machinery Inventory'!B5</f>
        <v>105000</v>
      </c>
      <c r="C5" s="3">
        <f>+'Machinery Inventory'!C5</f>
        <v>15</v>
      </c>
      <c r="D5" s="3">
        <f>+'Machinery Inventory'!E5</f>
        <v>1000</v>
      </c>
      <c r="E5" s="8">
        <f>+((B5-'Machinery Inventory'!D5)/'Machinery Cost'!C5)/D5</f>
        <v>3</v>
      </c>
      <c r="F5" s="8">
        <f>+(((B5+'Machinery Inventory'!D5)/2)*'Basic Input Costs'!C$50)/'Machinery Cost'!D5</f>
        <v>5.775000000000001</v>
      </c>
      <c r="G5" s="8">
        <f aca="true" t="shared" si="0" ref="G5:G13">+B5*C$24/D5</f>
        <v>0.3885</v>
      </c>
      <c r="H5" s="8">
        <f aca="true" t="shared" si="1" ref="H5:H13">+B5*C$25/D5</f>
        <v>0.8715</v>
      </c>
      <c r="I5" s="8">
        <f aca="true" t="shared" si="2" ref="I5:I13">+B5*C$26/D5</f>
        <v>0.6195</v>
      </c>
      <c r="J5" s="8">
        <f>SUM(E5:I5)</f>
        <v>10.654500000000002</v>
      </c>
      <c r="K5" s="8">
        <f aca="true" t="shared" si="3" ref="K5:K15">+B5*C$27/D5</f>
        <v>5.8065</v>
      </c>
      <c r="L5" s="8">
        <f>+(C28*'Basic Input Costs'!C21)*(1+C31)</f>
        <v>32.89</v>
      </c>
      <c r="M5" s="8">
        <f>+L5+K5</f>
        <v>38.6965</v>
      </c>
      <c r="N5" s="8">
        <f>+M5+J5</f>
        <v>49.351</v>
      </c>
    </row>
    <row r="6" spans="1:14" ht="12.75">
      <c r="A6" s="3" t="str">
        <f>+'Machinery Inventory'!A6</f>
        <v>85 HP Tractor</v>
      </c>
      <c r="B6" s="3">
        <f>+'Machinery Inventory'!B6</f>
        <v>42000</v>
      </c>
      <c r="C6" s="3">
        <f>+'Machinery Inventory'!C6</f>
        <v>15</v>
      </c>
      <c r="D6" s="3">
        <f>+'Machinery Inventory'!E6</f>
        <v>1200</v>
      </c>
      <c r="E6" s="8">
        <f>+((B6-'Machinery Inventory'!D6)/'Machinery Cost'!C6)/D6</f>
        <v>0.7777777777777778</v>
      </c>
      <c r="F6" s="8">
        <f>+(((B6+'Machinery Inventory'!D6)/2)*'Basic Input Costs'!C$50)/'Machinery Cost'!D6</f>
        <v>2.041666666666667</v>
      </c>
      <c r="G6" s="8">
        <f t="shared" si="0"/>
        <v>0.1295</v>
      </c>
      <c r="H6" s="8">
        <f t="shared" si="1"/>
        <v>0.29050000000000004</v>
      </c>
      <c r="I6" s="8">
        <f t="shared" si="2"/>
        <v>0.2065</v>
      </c>
      <c r="J6" s="8">
        <f aca="true" t="shared" si="4" ref="J6:J15">SUM(E6:I6)</f>
        <v>3.445944444444445</v>
      </c>
      <c r="K6" s="8">
        <f t="shared" si="3"/>
        <v>1.9355</v>
      </c>
      <c r="L6" s="8">
        <f>(C29*'Basic Input Costs'!C21)*(1+C31)</f>
        <v>12.333749999999998</v>
      </c>
      <c r="M6" s="8">
        <f aca="true" t="shared" si="5" ref="M6:M15">+L6+K6</f>
        <v>14.269249999999998</v>
      </c>
      <c r="N6" s="8">
        <f aca="true" t="shared" si="6" ref="N6:N15">+M6+J6</f>
        <v>17.715194444444442</v>
      </c>
    </row>
    <row r="7" spans="1:14" ht="12.75">
      <c r="A7" s="3" t="str">
        <f>+'Machinery Inventory'!A7</f>
        <v>Plow Moldboard</v>
      </c>
      <c r="B7" s="3">
        <f>+'Machinery Inventory'!B7</f>
        <v>10250</v>
      </c>
      <c r="C7" s="3">
        <f>+'Machinery Inventory'!C7</f>
        <v>10</v>
      </c>
      <c r="D7" s="3">
        <f>+'Machinery Inventory'!E7</f>
        <v>200</v>
      </c>
      <c r="E7" s="8">
        <f>+((B7-'Machinery Inventory'!D7)/'Machinery Cost'!C7)/D7</f>
        <v>4.218999999999999</v>
      </c>
      <c r="F7" s="8">
        <f>+(((B7+'Machinery Inventory'!D7)/2)*'Basic Input Costs'!C$50)/'Machinery Cost'!D7</f>
        <v>2.11085</v>
      </c>
      <c r="G7" s="8">
        <f t="shared" si="0"/>
        <v>0.18962500000000002</v>
      </c>
      <c r="H7" s="8">
        <f t="shared" si="1"/>
        <v>0.425375</v>
      </c>
      <c r="I7" s="8">
        <f t="shared" si="2"/>
        <v>0.302375</v>
      </c>
      <c r="J7" s="8">
        <f t="shared" si="4"/>
        <v>7.247224999999999</v>
      </c>
      <c r="K7" s="8">
        <f t="shared" si="3"/>
        <v>2.8341250000000002</v>
      </c>
      <c r="L7" s="8">
        <v>0</v>
      </c>
      <c r="M7" s="8">
        <f t="shared" si="5"/>
        <v>2.8341250000000002</v>
      </c>
      <c r="N7" s="8">
        <f t="shared" si="6"/>
        <v>10.08135</v>
      </c>
    </row>
    <row r="8" spans="1:14" ht="12.75">
      <c r="A8" s="3" t="str">
        <f>+'Machinery Inventory'!A8</f>
        <v>2-Row Lilliston</v>
      </c>
      <c r="B8" s="3">
        <f>+'Machinery Inventory'!B8</f>
        <v>3750</v>
      </c>
      <c r="C8" s="3">
        <f>+'Machinery Inventory'!C8</f>
        <v>15</v>
      </c>
      <c r="D8" s="3">
        <f>+'Machinery Inventory'!E8</f>
        <v>100</v>
      </c>
      <c r="E8" s="8">
        <f>+((B8-'Machinery Inventory'!D8)/'Machinery Cost'!C8)/D8</f>
        <v>2.25</v>
      </c>
      <c r="F8" s="8">
        <f>+(((B8+'Machinery Inventory'!D8)/2)*'Basic Input Costs'!C$50)/'Machinery Cost'!D8</f>
        <v>1.44375</v>
      </c>
      <c r="G8" s="8">
        <f t="shared" si="0"/>
        <v>0.13875</v>
      </c>
      <c r="H8" s="8">
        <f t="shared" si="1"/>
        <v>0.31125</v>
      </c>
      <c r="I8" s="8">
        <f t="shared" si="2"/>
        <v>0.22125</v>
      </c>
      <c r="J8" s="8">
        <f>SUM(E8:I8)</f>
        <v>4.365</v>
      </c>
      <c r="K8" s="8">
        <f t="shared" si="3"/>
        <v>2.07375</v>
      </c>
      <c r="L8" s="8">
        <v>0</v>
      </c>
      <c r="M8" s="8">
        <f>+L8+K8</f>
        <v>2.07375</v>
      </c>
      <c r="N8" s="8">
        <f>+M8+J8</f>
        <v>6.438750000000001</v>
      </c>
    </row>
    <row r="9" spans="1:14" ht="12.75">
      <c r="A9" s="3" t="str">
        <f>+'Machinery Inventory'!A9</f>
        <v>13' Tandem Disk</v>
      </c>
      <c r="B9" s="3">
        <f>+'Machinery Inventory'!B9</f>
        <v>9500</v>
      </c>
      <c r="C9" s="3">
        <f>+'Machinery Inventory'!C9</f>
        <v>15</v>
      </c>
      <c r="D9" s="3">
        <f>+'Machinery Inventory'!E9</f>
        <v>100</v>
      </c>
      <c r="E9" s="8">
        <f>+((B9-'Machinery Inventory'!D9)/'Machinery Cost'!C9)/D9</f>
        <v>5.725333333333333</v>
      </c>
      <c r="F9" s="8">
        <f>+(((B9+'Machinery Inventory'!D9)/2)*'Basic Input Costs'!C$50)/'Machinery Cost'!D9</f>
        <v>3.6442</v>
      </c>
      <c r="G9" s="8">
        <f t="shared" si="0"/>
        <v>0.3515</v>
      </c>
      <c r="H9" s="8">
        <f t="shared" si="1"/>
        <v>0.7885</v>
      </c>
      <c r="I9" s="8">
        <f t="shared" si="2"/>
        <v>0.5605</v>
      </c>
      <c r="J9" s="8">
        <f t="shared" si="4"/>
        <v>11.070033333333333</v>
      </c>
      <c r="K9" s="8">
        <f t="shared" si="3"/>
        <v>5.2535</v>
      </c>
      <c r="L9" s="8">
        <v>0</v>
      </c>
      <c r="M9" s="8">
        <f t="shared" si="5"/>
        <v>5.2535</v>
      </c>
      <c r="N9" s="8">
        <f t="shared" si="6"/>
        <v>16.323533333333334</v>
      </c>
    </row>
    <row r="10" spans="1:14" ht="12.75">
      <c r="A10" s="3" t="str">
        <f>+'Machinery Inventory'!A10</f>
        <v>13' Mulch Tiller </v>
      </c>
      <c r="B10" s="3">
        <f>+'Machinery Inventory'!B10</f>
        <v>14000</v>
      </c>
      <c r="C10" s="3">
        <f>+'Machinery Inventory'!C10</f>
        <v>10</v>
      </c>
      <c r="D10" s="3">
        <f>+'Machinery Inventory'!E10</f>
        <v>100</v>
      </c>
      <c r="E10" s="8">
        <f>+((B10-'Machinery Inventory'!D10)/'Machinery Cost'!C10)/D10</f>
        <v>9.5</v>
      </c>
      <c r="F10" s="8">
        <f>+(((B10+'Machinery Inventory'!D10)/2)*'Basic Input Costs'!C$50)/'Machinery Cost'!D10</f>
        <v>6.475000000000001</v>
      </c>
      <c r="G10" s="8">
        <f t="shared" si="0"/>
        <v>0.518</v>
      </c>
      <c r="H10" s="8">
        <f t="shared" si="1"/>
        <v>1.162</v>
      </c>
      <c r="I10" s="8">
        <f t="shared" si="2"/>
        <v>0.826</v>
      </c>
      <c r="J10" s="8">
        <f>SUM(E10:I10)</f>
        <v>18.481</v>
      </c>
      <c r="K10" s="8">
        <f t="shared" si="3"/>
        <v>7.742000000000001</v>
      </c>
      <c r="L10" s="8">
        <v>0</v>
      </c>
      <c r="M10" s="8">
        <f>+L10+K10</f>
        <v>7.742000000000001</v>
      </c>
      <c r="N10" s="8">
        <f>+M10+J10</f>
        <v>26.223000000000003</v>
      </c>
    </row>
    <row r="11" spans="1:14" ht="12.75">
      <c r="A11" s="3" t="str">
        <f>+'Machinery Inventory'!A11</f>
        <v>10' Rotary Mower</v>
      </c>
      <c r="B11" s="3">
        <f>+'Machinery Inventory'!B11</f>
        <v>5000</v>
      </c>
      <c r="C11" s="3">
        <f>+'Machinery Inventory'!C11</f>
        <v>10</v>
      </c>
      <c r="D11" s="3">
        <f>+'Machinery Inventory'!E11</f>
        <v>100</v>
      </c>
      <c r="E11" s="8">
        <f>+((B11-'Machinery Inventory'!D11)/'Machinery Cost'!C11)/D11</f>
        <v>4.1739999999999995</v>
      </c>
      <c r="F11" s="8">
        <f>+(((B11+'Machinery Inventory'!D11)/2)*'Basic Input Costs'!C$50)/'Machinery Cost'!D11</f>
        <v>2.0391000000000004</v>
      </c>
      <c r="G11" s="8">
        <f t="shared" si="0"/>
        <v>0.185</v>
      </c>
      <c r="H11" s="8">
        <f t="shared" si="1"/>
        <v>0.415</v>
      </c>
      <c r="I11" s="8">
        <f t="shared" si="2"/>
        <v>0.295</v>
      </c>
      <c r="J11" s="8">
        <f t="shared" si="4"/>
        <v>7.108099999999999</v>
      </c>
      <c r="K11" s="8">
        <f t="shared" si="3"/>
        <v>2.765</v>
      </c>
      <c r="L11" s="8">
        <v>0</v>
      </c>
      <c r="M11" s="8">
        <f t="shared" si="5"/>
        <v>2.765</v>
      </c>
      <c r="N11" s="8">
        <f t="shared" si="6"/>
        <v>9.873099999999999</v>
      </c>
    </row>
    <row r="12" spans="1:14" ht="12.75">
      <c r="A12" s="3" t="str">
        <f>+'Machinery Inventory'!A12</f>
        <v>1500 PTO Sprayer</v>
      </c>
      <c r="B12" s="3">
        <f>+'Machinery Inventory'!B12</f>
        <v>2500</v>
      </c>
      <c r="C12" s="3">
        <f>+'Machinery Inventory'!C12</f>
        <v>10</v>
      </c>
      <c r="D12" s="3">
        <f>+'Machinery Inventory'!E12</f>
        <v>50</v>
      </c>
      <c r="E12" s="8">
        <f>+((B12-'Machinery Inventory'!D12)/'Machinery Cost'!C12)/D12</f>
        <v>4.058</v>
      </c>
      <c r="F12" s="8">
        <f>+(((B12+'Machinery Inventory'!D12)/2)*'Basic Input Costs'!C$50)/'Machinery Cost'!D12</f>
        <v>2.0797000000000003</v>
      </c>
      <c r="G12" s="8">
        <f t="shared" si="0"/>
        <v>0.185</v>
      </c>
      <c r="H12" s="8">
        <f t="shared" si="1"/>
        <v>0.415</v>
      </c>
      <c r="I12" s="8">
        <f t="shared" si="2"/>
        <v>0.295</v>
      </c>
      <c r="J12" s="8">
        <f t="shared" si="4"/>
        <v>7.0327</v>
      </c>
      <c r="K12" s="8">
        <f t="shared" si="3"/>
        <v>2.765</v>
      </c>
      <c r="L12" s="8">
        <v>0</v>
      </c>
      <c r="M12" s="8">
        <f t="shared" si="5"/>
        <v>2.765</v>
      </c>
      <c r="N12" s="8">
        <f t="shared" si="6"/>
        <v>9.7977</v>
      </c>
    </row>
    <row r="13" spans="1:14" ht="12.75">
      <c r="A13" s="3" t="str">
        <f>+'Machinery Inventory'!A13</f>
        <v>Utility Trailer</v>
      </c>
      <c r="B13" s="3">
        <f>+'Machinery Inventory'!B13</f>
        <v>3300</v>
      </c>
      <c r="C13" s="3">
        <f>+'Machinery Inventory'!C13</f>
        <v>10</v>
      </c>
      <c r="D13" s="3">
        <f>+'Machinery Inventory'!E13</f>
        <v>50</v>
      </c>
      <c r="E13" s="8">
        <f>+((B13-'Machinery Inventory'!D13)/'Machinery Cost'!C13)/D13</f>
        <v>4.2</v>
      </c>
      <c r="F13" s="8">
        <f>+(((B13+'Machinery Inventory'!D13)/2)*'Basic Input Costs'!C$50)/'Machinery Cost'!D13</f>
        <v>3.1500000000000004</v>
      </c>
      <c r="G13" s="8">
        <f t="shared" si="0"/>
        <v>0.24420000000000003</v>
      </c>
      <c r="H13" s="8">
        <f t="shared" si="1"/>
        <v>0.5478000000000001</v>
      </c>
      <c r="I13" s="8">
        <f t="shared" si="2"/>
        <v>0.38939999999999997</v>
      </c>
      <c r="J13" s="8">
        <f t="shared" si="4"/>
        <v>8.531400000000001</v>
      </c>
      <c r="K13" s="8">
        <f t="shared" si="3"/>
        <v>3.6498000000000004</v>
      </c>
      <c r="L13" s="8">
        <v>0</v>
      </c>
      <c r="M13" s="8">
        <f t="shared" si="5"/>
        <v>3.6498000000000004</v>
      </c>
      <c r="N13" s="8">
        <f t="shared" si="6"/>
        <v>12.181200000000002</v>
      </c>
    </row>
    <row r="14" spans="1:14" ht="12.75">
      <c r="A14" s="3" t="str">
        <f>+'Machinery Inventory'!A14</f>
        <v>3/4 Ton Pickup</v>
      </c>
      <c r="B14" s="3">
        <f>+'Machinery Inventory'!B14</f>
        <v>35000</v>
      </c>
      <c r="C14" s="3">
        <f>+'Machinery Inventory'!C14</f>
        <v>4</v>
      </c>
      <c r="D14" s="3">
        <f>+'Machinery Inventory'!E14</f>
        <v>650</v>
      </c>
      <c r="E14" s="8">
        <f>+((B14-'Machinery Inventory'!D14)/'Machinery Cost'!C14)/D14</f>
        <v>7.6923076923076925</v>
      </c>
      <c r="F14" s="8">
        <f>+(((B14+'Machinery Inventory'!D14)/2)*'Basic Input Costs'!C$50)/'Machinery Cost'!D14</f>
        <v>2.6923076923076925</v>
      </c>
      <c r="G14" s="8">
        <v>0.17</v>
      </c>
      <c r="H14" s="8">
        <v>0.39</v>
      </c>
      <c r="I14" s="8">
        <v>0.28</v>
      </c>
      <c r="J14" s="8">
        <f>SUM(E14:I14)</f>
        <v>11.224615384615385</v>
      </c>
      <c r="K14" s="8">
        <f t="shared" si="3"/>
        <v>2.977692307692308</v>
      </c>
      <c r="L14" s="8">
        <f>+(C30*'Basic Input Costs'!C22)*(1+C31)</f>
        <v>10.35</v>
      </c>
      <c r="M14" s="8">
        <f>+L14+K14</f>
        <v>13.327692307692308</v>
      </c>
      <c r="N14" s="8">
        <f>+M14+J14</f>
        <v>24.552307692307693</v>
      </c>
    </row>
    <row r="15" spans="1:14" ht="12.75">
      <c r="A15" s="3" t="str">
        <f>+'Machinery Inventory'!A15</f>
        <v>Labor Pickup</v>
      </c>
      <c r="B15" s="3">
        <f>+'Machinery Inventory'!B15</f>
        <v>26000</v>
      </c>
      <c r="C15" s="3">
        <f>+'Machinery Inventory'!C15</f>
        <v>8</v>
      </c>
      <c r="D15" s="3">
        <f>+'Machinery Inventory'!E15</f>
        <v>300</v>
      </c>
      <c r="E15" s="8">
        <f>+((B15-'Machinery Inventory'!D15)/'Machinery Cost'!C15)/D15</f>
        <v>8.75</v>
      </c>
      <c r="F15" s="8">
        <f>+(((B15+'Machinery Inventory'!D15)/2)*'Basic Input Costs'!C$50)/'Machinery Cost'!D15</f>
        <v>3.6166666666666667</v>
      </c>
      <c r="G15" s="8">
        <f>+B15*C$24/D15</f>
        <v>0.32066666666666666</v>
      </c>
      <c r="H15" s="8">
        <f>+B15*C$25/D15</f>
        <v>0.7193333333333334</v>
      </c>
      <c r="I15" s="8">
        <f>+B15*C$26/D15</f>
        <v>0.5113333333333333</v>
      </c>
      <c r="J15" s="8">
        <f t="shared" si="4"/>
        <v>13.918</v>
      </c>
      <c r="K15" s="8">
        <f t="shared" si="3"/>
        <v>4.792666666666666</v>
      </c>
      <c r="L15" s="8">
        <f>+(C30*'Basic Input Costs'!C22)*(1+C31)</f>
        <v>10.35</v>
      </c>
      <c r="M15" s="8">
        <f t="shared" si="5"/>
        <v>15.142666666666667</v>
      </c>
      <c r="N15" s="8">
        <f t="shared" si="6"/>
        <v>29.060666666666666</v>
      </c>
    </row>
    <row r="16" spans="5:14" ht="12.75"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6" ht="12.75">
      <c r="A17" s="3" t="s">
        <v>32</v>
      </c>
      <c r="D17" s="3" t="s">
        <v>205</v>
      </c>
      <c r="E17" s="27" t="s">
        <v>261</v>
      </c>
      <c r="F17" s="8"/>
      <c r="G17" s="8"/>
      <c r="H17" s="8"/>
      <c r="I17" s="8"/>
      <c r="J17" s="8"/>
      <c r="K17" s="8"/>
      <c r="L17" s="8"/>
      <c r="M17" s="8"/>
      <c r="N17" s="8"/>
      <c r="O17" s="3" t="s">
        <v>278</v>
      </c>
      <c r="P17" s="3" t="s">
        <v>278</v>
      </c>
    </row>
    <row r="18" spans="1:14" ht="13.5" thickBot="1">
      <c r="A18" s="5" t="s">
        <v>244</v>
      </c>
      <c r="B18" s="5">
        <f>+'Machinery Inventory'!B18</f>
        <v>85000</v>
      </c>
      <c r="C18" s="5">
        <f>+'Machinery Inventory'!C18:C18</f>
        <v>30</v>
      </c>
      <c r="D18" s="5">
        <f>+'Machinery Inventory'!E18</f>
        <v>40</v>
      </c>
      <c r="E18" s="9">
        <f>+((B18-'Machinery Inventory'!D18)/'Machinery Cost'!C18)/D18</f>
        <v>70.83333333333334</v>
      </c>
      <c r="F18" s="9">
        <f>+(((B18+'Machinery Inventory'!D18)/2)*'Basic Input Costs'!C$50)/'Machinery Cost'!D18</f>
        <v>74.37500000000001</v>
      </c>
      <c r="G18" s="9">
        <v>1.37</v>
      </c>
      <c r="H18" s="9">
        <v>3.19</v>
      </c>
      <c r="I18" s="9">
        <v>0</v>
      </c>
      <c r="J18" s="9">
        <f>SUM(E18:I18)</f>
        <v>149.76833333333337</v>
      </c>
      <c r="K18" s="9">
        <v>27.34</v>
      </c>
      <c r="L18" s="9">
        <v>0</v>
      </c>
      <c r="M18" s="9">
        <f>+L18+K18</f>
        <v>27.34</v>
      </c>
      <c r="N18" s="9">
        <f>+M18+J18</f>
        <v>177.10833333333338</v>
      </c>
    </row>
    <row r="22" spans="1:4" ht="12.75">
      <c r="A22" s="78" t="s">
        <v>284</v>
      </c>
      <c r="B22" s="68"/>
      <c r="C22" s="68"/>
      <c r="D22" s="68"/>
    </row>
    <row r="23" spans="1:4" ht="12.75">
      <c r="A23" s="68"/>
      <c r="B23" s="68"/>
      <c r="C23" s="68"/>
      <c r="D23" s="68"/>
    </row>
    <row r="24" spans="1:4" ht="12.75">
      <c r="A24" s="68" t="s">
        <v>43</v>
      </c>
      <c r="B24" s="68" t="s">
        <v>179</v>
      </c>
      <c r="C24" s="120">
        <v>0.0037</v>
      </c>
      <c r="D24" s="120"/>
    </row>
    <row r="25" spans="1:4" ht="12.75">
      <c r="A25" s="68" t="s">
        <v>40</v>
      </c>
      <c r="B25" s="68" t="s">
        <v>179</v>
      </c>
      <c r="C25" s="120">
        <v>0.0083</v>
      </c>
      <c r="D25" s="120"/>
    </row>
    <row r="26" spans="1:4" ht="12.75">
      <c r="A26" s="68" t="s">
        <v>41</v>
      </c>
      <c r="B26" s="68" t="s">
        <v>179</v>
      </c>
      <c r="C26" s="120">
        <v>0.0059</v>
      </c>
      <c r="D26" s="120"/>
    </row>
    <row r="27" spans="1:4" ht="12.75">
      <c r="A27" s="68" t="s">
        <v>12</v>
      </c>
      <c r="B27" s="68" t="s">
        <v>179</v>
      </c>
      <c r="C27" s="120">
        <v>0.0553</v>
      </c>
      <c r="D27" s="120"/>
    </row>
    <row r="28" spans="1:4" ht="12.75">
      <c r="A28" s="68" t="s">
        <v>285</v>
      </c>
      <c r="B28" s="68" t="s">
        <v>287</v>
      </c>
      <c r="C28" s="121">
        <v>8.8</v>
      </c>
      <c r="D28" s="122"/>
    </row>
    <row r="29" spans="1:4" ht="12.75">
      <c r="A29" s="68" t="s">
        <v>286</v>
      </c>
      <c r="B29" s="68" t="s">
        <v>287</v>
      </c>
      <c r="C29" s="121">
        <v>3.3</v>
      </c>
      <c r="D29" s="122"/>
    </row>
    <row r="30" spans="1:4" ht="12.75">
      <c r="A30" s="68" t="s">
        <v>288</v>
      </c>
      <c r="B30" s="68" t="s">
        <v>287</v>
      </c>
      <c r="C30" s="121">
        <v>4</v>
      </c>
      <c r="D30" s="122"/>
    </row>
    <row r="31" spans="1:4" ht="12.75">
      <c r="A31" s="68" t="s">
        <v>44</v>
      </c>
      <c r="B31" s="68" t="s">
        <v>179</v>
      </c>
      <c r="C31" s="120">
        <v>0.15</v>
      </c>
      <c r="D31" s="120"/>
    </row>
    <row r="32" spans="1:4" ht="12.75">
      <c r="A32" s="68"/>
      <c r="B32" s="68"/>
      <c r="C32" s="68"/>
      <c r="D32" s="68"/>
    </row>
    <row r="33" spans="1:5" ht="12.75">
      <c r="A33" s="68" t="s">
        <v>45</v>
      </c>
      <c r="B33" s="68"/>
      <c r="C33" s="68"/>
      <c r="D33" s="68"/>
      <c r="E33" s="7"/>
    </row>
  </sheetData>
  <sheetProtection/>
  <mergeCells count="9">
    <mergeCell ref="C31:D31"/>
    <mergeCell ref="C30:D30"/>
    <mergeCell ref="C26:D26"/>
    <mergeCell ref="C27:D27"/>
    <mergeCell ref="C28:D28"/>
    <mergeCell ref="A1:N1"/>
    <mergeCell ref="C24:D24"/>
    <mergeCell ref="C25:D25"/>
    <mergeCell ref="C29:D29"/>
  </mergeCells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Footer>&amp;L&amp;Z&amp;F&amp;R&amp;D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1.421875" style="0" customWidth="1"/>
    <col min="7" max="7" width="10.28125" style="0" bestFit="1" customWidth="1"/>
    <col min="10" max="10" width="4.421875" style="0" customWidth="1"/>
    <col min="11" max="11" width="12.28125" style="0" customWidth="1"/>
  </cols>
  <sheetData>
    <row r="1" spans="1:7" ht="18" customHeight="1" thickBot="1">
      <c r="A1" s="123" t="s">
        <v>294</v>
      </c>
      <c r="B1" s="123"/>
      <c r="C1" s="123"/>
      <c r="D1" s="123"/>
      <c r="E1" s="123"/>
      <c r="F1" s="123"/>
      <c r="G1" s="123"/>
    </row>
    <row r="2" spans="1:7" ht="13.5" customHeight="1">
      <c r="A2" s="20" t="s">
        <v>3</v>
      </c>
      <c r="B2" s="21">
        <v>1</v>
      </c>
      <c r="C2" s="21">
        <v>2</v>
      </c>
      <c r="D2" s="21">
        <v>3</v>
      </c>
      <c r="E2" s="21">
        <v>4</v>
      </c>
      <c r="F2" s="21">
        <v>5</v>
      </c>
      <c r="G2" s="22" t="s">
        <v>149</v>
      </c>
    </row>
    <row r="3" spans="1:7" ht="12.75">
      <c r="A3" t="s">
        <v>151</v>
      </c>
      <c r="B3" s="10">
        <f>+'Year 1 IS'!D5</f>
        <v>0</v>
      </c>
      <c r="C3" s="10">
        <f>+'Year 2 IS'!D5</f>
        <v>1000</v>
      </c>
      <c r="D3" s="10">
        <f>+'Year 3 IS'!D5</f>
        <v>3000</v>
      </c>
      <c r="E3" s="10">
        <f>+'Year 4 IS'!D5</f>
        <v>4500</v>
      </c>
      <c r="F3" s="10">
        <f>+'Year 5 IS'!D5</f>
        <v>6000</v>
      </c>
      <c r="G3" s="10">
        <f>+'Year 6-15 IS '!D5</f>
        <v>7000</v>
      </c>
    </row>
    <row r="4" spans="1:7" ht="12.75">
      <c r="A4" t="s">
        <v>152</v>
      </c>
      <c r="B4">
        <f>+'Year 1 IS'!C5</f>
        <v>0.67</v>
      </c>
      <c r="C4">
        <f>+'Year 2 IS'!C5</f>
        <v>0.67</v>
      </c>
      <c r="D4">
        <f>+'Year 3 IS'!C5</f>
        <v>0.67</v>
      </c>
      <c r="E4">
        <f>+'Year 4 IS'!C5</f>
        <v>0.67</v>
      </c>
      <c r="F4">
        <f>+'Year 5 IS'!C5</f>
        <v>0.67</v>
      </c>
      <c r="G4">
        <f>+'Year 6-15 IS '!C5</f>
        <v>0.67</v>
      </c>
    </row>
    <row r="5" spans="1:7" ht="18" customHeight="1">
      <c r="A5" s="23" t="s">
        <v>150</v>
      </c>
      <c r="B5" s="25">
        <f aca="true" t="shared" si="0" ref="B5:G5">+B4*B3</f>
        <v>0</v>
      </c>
      <c r="C5" s="25">
        <f t="shared" si="0"/>
        <v>670</v>
      </c>
      <c r="D5" s="25">
        <f t="shared" si="0"/>
        <v>2010.0000000000002</v>
      </c>
      <c r="E5" s="25">
        <f t="shared" si="0"/>
        <v>3015</v>
      </c>
      <c r="F5" s="25">
        <f t="shared" si="0"/>
        <v>4020.0000000000005</v>
      </c>
      <c r="G5" s="25">
        <f t="shared" si="0"/>
        <v>4690</v>
      </c>
    </row>
    <row r="6" ht="12.75">
      <c r="A6" s="24" t="s">
        <v>158</v>
      </c>
    </row>
    <row r="7" spans="1:7" ht="12.75">
      <c r="A7" t="s">
        <v>153</v>
      </c>
      <c r="B7" s="10">
        <f>+'Year 1 IS'!E8+'Year 1 IS'!E9+'Year 1 IS'!E10+'Year 1 IS'!E11</f>
        <v>2130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2.75">
      <c r="A8" t="s">
        <v>306</v>
      </c>
      <c r="B8" s="10">
        <f>+'Year 1 IS'!E20</f>
        <v>7.5</v>
      </c>
      <c r="C8" s="10">
        <f>+'Year 2 IS'!E8</f>
        <v>7.5</v>
      </c>
      <c r="D8" s="10">
        <f>+'Year 3 IS'!E8</f>
        <v>7.5</v>
      </c>
      <c r="E8" s="10">
        <f>+'Year 4 IS'!E8</f>
        <v>7.5</v>
      </c>
      <c r="F8" s="10">
        <f>+'Year 5 IS'!E8</f>
        <v>7.5</v>
      </c>
      <c r="G8" s="10">
        <f>+'Year 6-15 IS '!E8</f>
        <v>7.5</v>
      </c>
    </row>
    <row r="9" spans="1:7" ht="12.75">
      <c r="A9" t="s">
        <v>93</v>
      </c>
      <c r="B9" s="10">
        <f>+'Year 1 IS'!E21</f>
        <v>19.156800000000004</v>
      </c>
      <c r="C9" s="10">
        <f>+'Year 2 IS'!E9</f>
        <v>19.156800000000004</v>
      </c>
      <c r="D9" s="10">
        <f>+'Year 3 IS'!E9</f>
        <v>19.156800000000004</v>
      </c>
      <c r="E9" s="10">
        <f>+'Year 4 IS'!E9</f>
        <v>19.156800000000004</v>
      </c>
      <c r="F9" s="10">
        <f>+'Year 5 IS'!E9</f>
        <v>19.156800000000004</v>
      </c>
      <c r="G9" s="10">
        <f>+'Year 6-15 IS '!E9</f>
        <v>19.156800000000004</v>
      </c>
    </row>
    <row r="10" spans="1:7" ht="12.75">
      <c r="A10" t="s">
        <v>94</v>
      </c>
      <c r="B10" s="10">
        <f>+'Year 1 IS'!E22</f>
        <v>8.75</v>
      </c>
      <c r="C10" s="10">
        <f>+'Year 2 IS'!E10</f>
        <v>8.75</v>
      </c>
      <c r="D10" s="10">
        <f>+'Year 3 IS'!E10</f>
        <v>8.75</v>
      </c>
      <c r="E10" s="10">
        <f>+'Year 4 IS'!E10</f>
        <v>8.75</v>
      </c>
      <c r="F10" s="10">
        <f>+'Year 5 IS'!E10</f>
        <v>8.75</v>
      </c>
      <c r="G10" s="10">
        <f>+'Year 6-15 IS '!E10</f>
        <v>8.75</v>
      </c>
    </row>
    <row r="11" spans="1:7" ht="12.75">
      <c r="A11" t="s">
        <v>90</v>
      </c>
      <c r="B11" s="10">
        <f>+'Year 1 IS'!E16+'Year 1 IS'!E18</f>
        <v>13.68</v>
      </c>
      <c r="C11">
        <v>0</v>
      </c>
      <c r="D11" s="10">
        <f>+'Year 3 IS'!E12</f>
        <v>4.68</v>
      </c>
      <c r="E11" s="10">
        <f>+'Year 4 IS'!E12</f>
        <v>4.68</v>
      </c>
      <c r="F11" s="10">
        <f>+'Year 5 IS'!E12</f>
        <v>4.68</v>
      </c>
      <c r="G11" s="10">
        <f>+'Year 6-15 IS '!E12</f>
        <v>4.68</v>
      </c>
    </row>
    <row r="12" spans="1:7" ht="12.75">
      <c r="A12" t="s">
        <v>91</v>
      </c>
      <c r="B12" s="10">
        <f>+'Year 1 IS'!E17</f>
        <v>13.33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ht="12.75">
      <c r="A13" t="s">
        <v>132</v>
      </c>
      <c r="B13">
        <v>0</v>
      </c>
      <c r="C13" s="10">
        <f>+'Year 2 IS'!E11</f>
        <v>5</v>
      </c>
      <c r="D13" s="10">
        <f>+'Year 3 IS'!E11</f>
        <v>5</v>
      </c>
      <c r="E13" s="10">
        <f>+'Year 4 IS'!E11</f>
        <v>7.6</v>
      </c>
      <c r="F13" s="10">
        <f>+'Year 5 IS'!E11</f>
        <v>7.6</v>
      </c>
      <c r="G13" s="10">
        <f>+'Year 6-15 IS '!E11</f>
        <v>7.6</v>
      </c>
    </row>
    <row r="14" spans="1:7" ht="12.75">
      <c r="A14" t="s">
        <v>238</v>
      </c>
      <c r="B14">
        <v>0</v>
      </c>
      <c r="C14" s="10">
        <f>+'Year 2 IS'!E12+'Year 2 IS'!E13+'Year 2 IS'!E14</f>
        <v>250</v>
      </c>
      <c r="D14" s="10">
        <f>+'Year 3 IS'!E13+'Year 3 IS'!E14+'Year 3 IS'!E15</f>
        <v>750</v>
      </c>
      <c r="E14" s="10">
        <f>+'Year 4 IS'!E13+'Year 4 IS'!E14+'Year 4 IS'!E15</f>
        <v>1125</v>
      </c>
      <c r="F14" s="10">
        <f>+'Year 5 IS'!E13+'Year 5 IS'!E14+'Year 5 IS'!E15</f>
        <v>1500</v>
      </c>
      <c r="G14" s="10">
        <f>+'Year 6-15 IS '!E13+'Year 6-15 IS '!E14+'Year 6-15 IS '!E15</f>
        <v>1750</v>
      </c>
    </row>
    <row r="15" spans="1:7" ht="12.75">
      <c r="A15" t="s">
        <v>133</v>
      </c>
      <c r="B15">
        <v>0</v>
      </c>
      <c r="C15" s="10">
        <f>+'Year 2 IS'!E15</f>
        <v>7.26</v>
      </c>
      <c r="D15" s="10">
        <f>+'Year 3 IS'!E16</f>
        <v>7.26</v>
      </c>
      <c r="E15" s="10">
        <f>+'Year 4 IS'!E16</f>
        <v>7.26</v>
      </c>
      <c r="F15" s="10">
        <f>+'Year 5 IS'!E16</f>
        <v>7.26</v>
      </c>
      <c r="G15" s="10">
        <f>+'Year 6-15 IS '!E16</f>
        <v>7.26</v>
      </c>
    </row>
    <row r="16" spans="1:7" ht="12.75">
      <c r="A16" t="s">
        <v>134</v>
      </c>
      <c r="B16">
        <v>0</v>
      </c>
      <c r="C16" s="10">
        <f>+'Year 2 IS'!E16</f>
        <v>8.19</v>
      </c>
      <c r="D16" s="10">
        <f>+'Year 3 IS'!E17</f>
        <v>8.19</v>
      </c>
      <c r="E16" s="10">
        <f>+'Year 5 IS'!E17</f>
        <v>8.19</v>
      </c>
      <c r="F16" s="10">
        <f>+'Year 5 IS'!E17</f>
        <v>8.19</v>
      </c>
      <c r="G16" s="10">
        <f>+'Year 6-15 IS '!E17</f>
        <v>8.19</v>
      </c>
    </row>
    <row r="17" spans="1:7" ht="12.75">
      <c r="A17" t="s">
        <v>193</v>
      </c>
      <c r="B17" s="10">
        <f>+'Year 1 IS'!E19</f>
        <v>150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ht="12.75">
      <c r="A18" t="s">
        <v>154</v>
      </c>
      <c r="B18" s="10">
        <f>+'Year 1 IS'!E12</f>
        <v>7.5</v>
      </c>
      <c r="C18" s="10">
        <f>+'Year 2 IS'!E17</f>
        <v>7.5</v>
      </c>
      <c r="D18" s="10">
        <f>+'Year 3 IS'!E18</f>
        <v>7.5</v>
      </c>
      <c r="E18" s="10">
        <f>+'Year 5 IS'!E18</f>
        <v>7.5</v>
      </c>
      <c r="F18" s="10">
        <f>+'Year 5 IS'!E18</f>
        <v>7.5</v>
      </c>
      <c r="G18" s="10">
        <f>+'Year 6-15 IS '!E18</f>
        <v>7.5</v>
      </c>
    </row>
    <row r="19" spans="1:7" ht="12.75">
      <c r="A19" t="s">
        <v>89</v>
      </c>
      <c r="B19" s="10">
        <f>+'Year 1 IS'!E15</f>
        <v>76.94999999999999</v>
      </c>
      <c r="C19" s="10">
        <f>+'Year 2 IS'!E18</f>
        <v>68.39999999999999</v>
      </c>
      <c r="D19" s="10">
        <f>+'Year 3 IS'!E19</f>
        <v>68.39999999999999</v>
      </c>
      <c r="E19" s="10">
        <f>+'Year 4 IS'!E19</f>
        <v>68.39999999999999</v>
      </c>
      <c r="F19" s="10">
        <f>+'Year 5 IS'!E19</f>
        <v>68.39999999999999</v>
      </c>
      <c r="G19" s="10">
        <f>+'Year 6-15 IS '!E19</f>
        <v>68.39999999999999</v>
      </c>
    </row>
    <row r="20" spans="1:7" ht="12.75">
      <c r="A20" t="s">
        <v>155</v>
      </c>
      <c r="B20" s="10">
        <f>+'Year 1 IS'!E13+'Year 1 IS'!E14</f>
        <v>94.05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ht="12.75">
      <c r="A21" t="s">
        <v>190</v>
      </c>
      <c r="B21" s="10">
        <f>+'Year 1 IS'!E23</f>
        <v>60</v>
      </c>
      <c r="C21" s="10">
        <f>+'Year 2 IS'!E19</f>
        <v>60</v>
      </c>
      <c r="D21" s="10">
        <f>+'Year 3 IS'!E20</f>
        <v>60</v>
      </c>
      <c r="E21" s="10">
        <f>+'Year 4 IS'!E20</f>
        <v>60</v>
      </c>
      <c r="F21" s="10">
        <f>+'Year 5 IS'!E20</f>
        <v>60</v>
      </c>
      <c r="G21" s="10">
        <f>+'Year 6-15 IS '!E20</f>
        <v>60</v>
      </c>
    </row>
    <row r="22" spans="1:7" ht="12.75">
      <c r="A22" t="s">
        <v>96</v>
      </c>
      <c r="B22" s="10">
        <f>+'Year 1 IS'!E24</f>
        <v>50</v>
      </c>
      <c r="C22" s="10">
        <f>+'Year 2 IS'!E20</f>
        <v>50</v>
      </c>
      <c r="D22" s="10">
        <f>+'Year 3 IS'!E21</f>
        <v>50</v>
      </c>
      <c r="E22" s="10">
        <f>+'Year 4 IS'!E21</f>
        <v>50</v>
      </c>
      <c r="F22" s="10">
        <f>+'Year 5 IS'!E21</f>
        <v>50</v>
      </c>
      <c r="G22" s="10">
        <f>+'Year 6-15 IS '!E21</f>
        <v>50</v>
      </c>
    </row>
    <row r="23" spans="1:7" ht="12.75">
      <c r="A23" t="s">
        <v>58</v>
      </c>
      <c r="B23" s="10">
        <f>+'Year 1 IS'!E28</f>
        <v>60</v>
      </c>
      <c r="C23" s="10">
        <f>+'Year 2 IS'!E24</f>
        <v>60</v>
      </c>
      <c r="D23" s="10">
        <f>+'Year 3 IS'!E25</f>
        <v>60</v>
      </c>
      <c r="E23" s="10">
        <f>+'Year 4 IS'!E25</f>
        <v>60</v>
      </c>
      <c r="F23" s="10">
        <f>+'Year 5 IS'!E25</f>
        <v>60</v>
      </c>
      <c r="G23" s="10">
        <f>+'Year 6-15 IS '!E25</f>
        <v>60</v>
      </c>
    </row>
    <row r="24" spans="1:7" ht="12.75">
      <c r="A24" t="s">
        <v>156</v>
      </c>
      <c r="B24" s="10">
        <f>+'Year 1 IS'!E27</f>
        <v>56.43674868645834</v>
      </c>
      <c r="C24" s="10">
        <f>+'Year 2 IS'!E23</f>
        <v>16.45158585616186</v>
      </c>
      <c r="D24" s="10">
        <f>+'Year 3 IS'!E24</f>
        <v>24.62055131569711</v>
      </c>
      <c r="E24" s="10">
        <f>+'Year 4 IS'!E24</f>
        <v>29.514676315697113</v>
      </c>
      <c r="F24" s="10">
        <f>+'Year 5 IS'!E24</f>
        <v>34.358426315697116</v>
      </c>
      <c r="G24" s="10">
        <f>+'Year 6-15 IS '!E24</f>
        <v>37.58759298236378</v>
      </c>
    </row>
    <row r="25" spans="1:7" ht="12.75">
      <c r="A25" t="s">
        <v>218</v>
      </c>
      <c r="B25" s="10">
        <f>+'Year 1 IS'!E25</f>
        <v>127.68744916666665</v>
      </c>
      <c r="C25" s="10">
        <f>+'Year 2 IS'!E21</f>
        <v>86.54924251282051</v>
      </c>
      <c r="D25" s="10">
        <f>+'Year 3 IS'!E22</f>
        <v>129.50239603846154</v>
      </c>
      <c r="E25" s="10">
        <f>+'Year 4 IS'!E22</f>
        <v>129.50239603846154</v>
      </c>
      <c r="F25" s="10">
        <f>+'Year 5 IS'!E22</f>
        <v>129.50239603846154</v>
      </c>
      <c r="G25" s="10">
        <f>+'Year 6-15 IS '!E22</f>
        <v>129.50239603846154</v>
      </c>
    </row>
    <row r="26" spans="1:7" ht="12.75">
      <c r="A26" t="s">
        <v>4</v>
      </c>
      <c r="B26" s="10">
        <f>+'Year 1 IS'!E26</f>
        <v>72.24000000000004</v>
      </c>
      <c r="C26" s="10">
        <f>+'Year 2 IS'!E22</f>
        <v>49.559999999999945</v>
      </c>
      <c r="D26" s="10">
        <f>+'Year 3 IS'!E23</f>
        <v>50.15999999999997</v>
      </c>
      <c r="E26" s="10">
        <f>+'Year 4 IS'!E23</f>
        <v>50.159999999999854</v>
      </c>
      <c r="F26" s="10">
        <f>+'Year 5 IS'!E23</f>
        <v>50.159999999999854</v>
      </c>
      <c r="G26" s="10">
        <f>+'Year 6-15 IS '!E23</f>
        <v>50.159999999999854</v>
      </c>
    </row>
    <row r="27" spans="1:7" ht="12.75">
      <c r="A27" t="s">
        <v>157</v>
      </c>
      <c r="B27" s="10">
        <f aca="true" t="shared" si="1" ref="B27:G27">SUM(B7:B26)</f>
        <v>2947.2809978531254</v>
      </c>
      <c r="C27" s="10">
        <f t="shared" si="1"/>
        <v>704.3176283689822</v>
      </c>
      <c r="D27" s="10">
        <f t="shared" si="1"/>
        <v>1260.7197473541587</v>
      </c>
      <c r="E27" s="10">
        <f t="shared" si="1"/>
        <v>1643.2138723541586</v>
      </c>
      <c r="F27" s="10">
        <f t="shared" si="1"/>
        <v>2023.0576223541586</v>
      </c>
      <c r="G27" s="10">
        <f t="shared" si="1"/>
        <v>2276.286789020825</v>
      </c>
    </row>
    <row r="29" ht="12.75">
      <c r="A29" s="24" t="s">
        <v>99</v>
      </c>
    </row>
    <row r="30" spans="1:7" ht="12.75">
      <c r="A30" t="s">
        <v>100</v>
      </c>
      <c r="B30" s="10">
        <f>+'Year 1 IS'!E33</f>
        <v>94.16018632478634</v>
      </c>
      <c r="C30" s="10">
        <f>+'Year 2 IS'!E29</f>
        <v>101.42512188034189</v>
      </c>
      <c r="D30" s="10">
        <f>+'Year 3 IS'!E30</f>
        <v>125.97460307692309</v>
      </c>
      <c r="E30" s="10">
        <f>+'Year 4 IS'!E30</f>
        <v>125.97460307692309</v>
      </c>
      <c r="F30" s="10">
        <f>+'Year 5 IS'!E30</f>
        <v>125.97460307692309</v>
      </c>
      <c r="G30" s="10">
        <f>+'Year 6-15 IS '!E30</f>
        <v>125.97460307692309</v>
      </c>
    </row>
    <row r="31" spans="1:7" ht="12.75">
      <c r="A31" t="s">
        <v>101</v>
      </c>
      <c r="B31" s="10">
        <f>+'Year 1 IS'!E34</f>
        <v>93.98944826923079</v>
      </c>
      <c r="C31" s="10">
        <f>+'Year 2 IS'!E30</f>
        <v>91.93748576923079</v>
      </c>
      <c r="D31" s="10">
        <f>+'Year 3 IS'!E31</f>
        <v>100.76811841025643</v>
      </c>
      <c r="E31" s="10">
        <f>+'Year 4 IS'!E31</f>
        <v>100.76811841025643</v>
      </c>
      <c r="F31" s="10">
        <f>+'Year 5 IS'!E31</f>
        <v>100.76811841025643</v>
      </c>
      <c r="G31" s="10">
        <f>+'Year 6-15 IS '!E31</f>
        <v>100.76811841025643</v>
      </c>
    </row>
    <row r="32" spans="1:7" ht="12.75">
      <c r="A32" t="s">
        <v>102</v>
      </c>
      <c r="B32" s="10">
        <f>+'Year 1 IS'!E35</f>
        <v>11.650855833333335</v>
      </c>
      <c r="C32" s="10">
        <f>+'Year 2 IS'!E31</f>
        <v>11.124566000000003</v>
      </c>
      <c r="D32" s="10">
        <f>+'Year 3 IS'!E32</f>
        <v>14.33170766666667</v>
      </c>
      <c r="E32" s="10">
        <f>+'Year 4 IS'!E32</f>
        <v>13.090641000000002</v>
      </c>
      <c r="F32" s="10">
        <f>+'Year 5 IS'!E32</f>
        <v>13.090641000000002</v>
      </c>
      <c r="G32" s="10">
        <f>+'Year 6-15 IS '!E32</f>
        <v>13.090641000000002</v>
      </c>
    </row>
    <row r="33" spans="1:7" ht="12.75">
      <c r="A33" t="s">
        <v>107</v>
      </c>
      <c r="B33" s="10">
        <f>+'Year 1 IS'!E36</f>
        <v>134.6</v>
      </c>
      <c r="C33" s="10">
        <f>+'Year 2 IS'!E32</f>
        <v>134.6</v>
      </c>
      <c r="D33" s="10">
        <f>+'Year 3 IS'!E33</f>
        <v>134.6</v>
      </c>
      <c r="E33" s="10">
        <f>+'Year 4 IS'!E33</f>
        <v>152.15</v>
      </c>
      <c r="F33" s="10">
        <f>+'Year 5 IS'!E33</f>
        <v>152.15</v>
      </c>
      <c r="G33" s="10">
        <f>+'Year 6-15 IS '!E33</f>
        <v>152.15</v>
      </c>
    </row>
    <row r="34" spans="1:7" ht="12.75">
      <c r="A34" t="s">
        <v>189</v>
      </c>
      <c r="B34" s="10">
        <f>+'Year 1 IS'!E37</f>
        <v>41.18080000000001</v>
      </c>
      <c r="C34" s="10">
        <f>+'Year 2 IS'!E33</f>
        <v>50.9252</v>
      </c>
      <c r="D34" s="10">
        <f>+'Year 3 IS'!E34</f>
        <v>136.0272</v>
      </c>
      <c r="E34" s="10">
        <f>+'Year 4 IS'!E34</f>
        <v>199.7772</v>
      </c>
      <c r="F34" s="10">
        <f>+'Year 5 IS'!E34</f>
        <v>263.5272</v>
      </c>
      <c r="G34" s="10">
        <f>+'Year 6-15 IS '!E34</f>
        <v>306.0272</v>
      </c>
    </row>
    <row r="35" spans="1:7" ht="12.75">
      <c r="A35" s="11" t="s">
        <v>237</v>
      </c>
      <c r="B35" s="10">
        <f>+'Year 1 IS'!E38</f>
        <v>566.6666666666666</v>
      </c>
      <c r="C35" s="10">
        <f>+'Year 2 IS'!E34</f>
        <v>566.6666666666666</v>
      </c>
      <c r="D35" s="10">
        <f>+'Year 3 IS'!E35</f>
        <v>566.6666666666666</v>
      </c>
      <c r="E35" s="10">
        <f>+'Year 4 IS'!E35</f>
        <v>566.6666666666666</v>
      </c>
      <c r="F35" s="10">
        <f>+'Year 5 IS'!E35</f>
        <v>566.6666666666666</v>
      </c>
      <c r="G35" s="10">
        <f>+'Year 6-15 IS '!E35</f>
        <v>566.6666666666666</v>
      </c>
    </row>
    <row r="36" spans="1:7" ht="12.75">
      <c r="A36" t="s">
        <v>55</v>
      </c>
      <c r="B36" s="10">
        <f>+'Year 1 IS'!E39</f>
        <v>234.5</v>
      </c>
      <c r="C36" s="10">
        <f>+'Year 2 IS'!E35</f>
        <v>234.5</v>
      </c>
      <c r="D36" s="10">
        <f>+'Year 3 IS'!E36</f>
        <v>234.5</v>
      </c>
      <c r="E36" s="10">
        <f>+'Year 4 IS'!E36</f>
        <v>234.5</v>
      </c>
      <c r="F36" s="10">
        <f>+'Year 5 IS'!E36</f>
        <v>234.5</v>
      </c>
      <c r="G36" s="10">
        <f>+'Year 6-15 IS '!E36</f>
        <v>234.5</v>
      </c>
    </row>
    <row r="37" spans="1:7" ht="12.75">
      <c r="A37" t="s">
        <v>263</v>
      </c>
      <c r="B37">
        <v>0</v>
      </c>
      <c r="C37" s="10">
        <f>+'Year 2 IS'!E36</f>
        <v>226.0210988007872</v>
      </c>
      <c r="D37" s="10">
        <f>+'Year 3 IS'!E37</f>
        <v>249.2885749382399</v>
      </c>
      <c r="E37" s="10">
        <f>+'Year 4 IS'!E37</f>
        <v>225.6043030050823</v>
      </c>
      <c r="F37" s="10">
        <f>+'Year 5 IS'!E37</f>
        <v>405.8102500049368</v>
      </c>
      <c r="G37" s="10">
        <f>+'Year 6-15 IS '!E37</f>
        <v>405.8102500049368</v>
      </c>
    </row>
    <row r="38" spans="1:7" ht="12.75">
      <c r="A38" t="s">
        <v>159</v>
      </c>
      <c r="B38" s="10">
        <f aca="true" t="shared" si="2" ref="B38:G38">SUM(B30:B37)</f>
        <v>1176.7479570940172</v>
      </c>
      <c r="C38" s="10">
        <f t="shared" si="2"/>
        <v>1417.2001391170268</v>
      </c>
      <c r="D38" s="10">
        <f t="shared" si="2"/>
        <v>1562.1568707587526</v>
      </c>
      <c r="E38" s="10">
        <f t="shared" si="2"/>
        <v>1618.5315321589285</v>
      </c>
      <c r="F38" s="10">
        <f t="shared" si="2"/>
        <v>1862.487479158783</v>
      </c>
      <c r="G38" s="10">
        <f t="shared" si="2"/>
        <v>1904.987479158783</v>
      </c>
    </row>
    <row r="40" spans="1:7" ht="12.75">
      <c r="A40" t="s">
        <v>160</v>
      </c>
      <c r="B40" s="10">
        <f aca="true" t="shared" si="3" ref="B40:G40">+B27+B38</f>
        <v>4124.028954947143</v>
      </c>
      <c r="C40" s="10">
        <f t="shared" si="3"/>
        <v>2121.517767486009</v>
      </c>
      <c r="D40" s="10">
        <f t="shared" si="3"/>
        <v>2822.8766181129113</v>
      </c>
      <c r="E40" s="10">
        <f t="shared" si="3"/>
        <v>3261.745404513087</v>
      </c>
      <c r="F40" s="10">
        <f t="shared" si="3"/>
        <v>3885.5451015129415</v>
      </c>
      <c r="G40" s="10">
        <f t="shared" si="3"/>
        <v>4181.274268179608</v>
      </c>
    </row>
    <row r="41" spans="1:7" ht="12.75">
      <c r="A41" t="s">
        <v>242</v>
      </c>
      <c r="B41" s="10">
        <f aca="true" t="shared" si="4" ref="B41:G41">+B5-B40</f>
        <v>-4124.028954947143</v>
      </c>
      <c r="C41" s="10">
        <f t="shared" si="4"/>
        <v>-1451.5177674860088</v>
      </c>
      <c r="D41" s="10">
        <f t="shared" si="4"/>
        <v>-812.876618112911</v>
      </c>
      <c r="E41" s="10">
        <f t="shared" si="4"/>
        <v>-246.74540451308712</v>
      </c>
      <c r="F41" s="10">
        <f t="shared" si="4"/>
        <v>134.45489848705893</v>
      </c>
      <c r="G41" s="10">
        <f t="shared" si="4"/>
        <v>508.72573182039196</v>
      </c>
    </row>
    <row r="42" spans="1:7" ht="12.75">
      <c r="A42" s="28" t="s">
        <v>262</v>
      </c>
      <c r="B42" s="10">
        <f aca="true" t="shared" si="5" ref="B42:G42">+B31+B35+B36+B37</f>
        <v>895.1561149358974</v>
      </c>
      <c r="C42" s="10">
        <f t="shared" si="5"/>
        <v>1119.1252512366846</v>
      </c>
      <c r="D42" s="10">
        <f t="shared" si="5"/>
        <v>1151.223360015163</v>
      </c>
      <c r="E42" s="10">
        <f t="shared" si="5"/>
        <v>1127.5390880820053</v>
      </c>
      <c r="F42" s="10">
        <f t="shared" si="5"/>
        <v>1307.74503508186</v>
      </c>
      <c r="G42" s="10">
        <f t="shared" si="5"/>
        <v>1307.74503508186</v>
      </c>
    </row>
    <row r="43" spans="1:7" ht="12.75">
      <c r="A43" s="24" t="s">
        <v>307</v>
      </c>
      <c r="B43" s="10">
        <f aca="true" t="shared" si="6" ref="B43:G43">+B41+B42</f>
        <v>-3228.872840011245</v>
      </c>
      <c r="C43" s="10">
        <f t="shared" si="6"/>
        <v>-332.3925162493242</v>
      </c>
      <c r="D43" s="10">
        <f t="shared" si="6"/>
        <v>338.346741902252</v>
      </c>
      <c r="E43" s="10">
        <f t="shared" si="6"/>
        <v>880.7936835689181</v>
      </c>
      <c r="F43" s="10">
        <f t="shared" si="6"/>
        <v>1442.1999335689188</v>
      </c>
      <c r="G43" s="10">
        <f t="shared" si="6"/>
        <v>1816.4707669022519</v>
      </c>
    </row>
    <row r="44" spans="1:7" ht="12.75">
      <c r="A44" t="s">
        <v>248</v>
      </c>
      <c r="B44" s="10">
        <f>+B43</f>
        <v>-3228.872840011245</v>
      </c>
      <c r="C44" s="10">
        <f>+B44+C43</f>
        <v>-3561.265356260569</v>
      </c>
      <c r="D44" s="10">
        <f>+C44+D43</f>
        <v>-3222.9186143583174</v>
      </c>
      <c r="E44" s="10">
        <f>+D44+E43</f>
        <v>-2342.1249307893995</v>
      </c>
      <c r="F44" s="10">
        <f>+E44+F43</f>
        <v>-899.9249972204807</v>
      </c>
      <c r="G44" s="10">
        <f>+F44+G43</f>
        <v>916.5457696817712</v>
      </c>
    </row>
    <row r="45" spans="2:11" ht="12.75">
      <c r="B45" s="10"/>
      <c r="C45" s="10"/>
      <c r="D45" s="10"/>
      <c r="E45" s="10"/>
      <c r="F45" s="10"/>
      <c r="G45" s="10"/>
      <c r="K45" t="s">
        <v>222</v>
      </c>
    </row>
    <row r="46" spans="1:12" ht="12.75">
      <c r="A46" t="s">
        <v>219</v>
      </c>
      <c r="E46" s="26">
        <v>0.08</v>
      </c>
      <c r="F46" t="s">
        <v>220</v>
      </c>
      <c r="G46" s="19">
        <f>NPV(E46,L46:L60)</f>
        <v>6918.268917122768</v>
      </c>
      <c r="K46" t="s">
        <v>236</v>
      </c>
      <c r="L46" s="10">
        <f>+B43</f>
        <v>-3228.872840011245</v>
      </c>
    </row>
    <row r="47" spans="1:12" ht="13.5" thickBot="1">
      <c r="A47" s="2"/>
      <c r="B47" s="2"/>
      <c r="C47" s="2"/>
      <c r="D47" s="2"/>
      <c r="E47" s="2"/>
      <c r="F47" s="2" t="s">
        <v>221</v>
      </c>
      <c r="G47" s="43">
        <f>IRR(L46:L61,E46)</f>
        <v>0.2731143428312628</v>
      </c>
      <c r="K47" t="s">
        <v>223</v>
      </c>
      <c r="L47" s="10">
        <f>+C43</f>
        <v>-332.3925162493242</v>
      </c>
    </row>
    <row r="48" spans="11:12" ht="12.75">
      <c r="K48" t="s">
        <v>167</v>
      </c>
      <c r="L48" s="10">
        <f>+D43</f>
        <v>338.346741902252</v>
      </c>
    </row>
    <row r="49" spans="11:12" ht="12.75">
      <c r="K49" t="s">
        <v>224</v>
      </c>
      <c r="L49" s="10">
        <f>+E43</f>
        <v>880.7936835689181</v>
      </c>
    </row>
    <row r="50" spans="11:12" ht="12.75">
      <c r="K50" t="s">
        <v>225</v>
      </c>
      <c r="L50" s="10">
        <f>+F43</f>
        <v>1442.1999335689188</v>
      </c>
    </row>
    <row r="51" spans="11:12" ht="12.75">
      <c r="K51" t="s">
        <v>226</v>
      </c>
      <c r="L51" s="10">
        <f>+$G$43</f>
        <v>1816.4707669022519</v>
      </c>
    </row>
    <row r="52" spans="11:12" ht="12.75">
      <c r="K52" t="s">
        <v>227</v>
      </c>
      <c r="L52" s="10">
        <f aca="true" t="shared" si="7" ref="L52:L60">+$G$43</f>
        <v>1816.4707669022519</v>
      </c>
    </row>
    <row r="53" spans="11:12" ht="12.75">
      <c r="K53" t="s">
        <v>228</v>
      </c>
      <c r="L53" s="10">
        <f t="shared" si="7"/>
        <v>1816.4707669022519</v>
      </c>
    </row>
    <row r="54" spans="11:12" ht="12.75">
      <c r="K54" t="s">
        <v>229</v>
      </c>
      <c r="L54" s="10">
        <f t="shared" si="7"/>
        <v>1816.4707669022519</v>
      </c>
    </row>
    <row r="55" spans="11:12" ht="12.75">
      <c r="K55" t="s">
        <v>230</v>
      </c>
      <c r="L55" s="10">
        <f t="shared" si="7"/>
        <v>1816.4707669022519</v>
      </c>
    </row>
    <row r="56" spans="11:12" ht="12.75">
      <c r="K56" t="s">
        <v>231</v>
      </c>
      <c r="L56" s="10">
        <f t="shared" si="7"/>
        <v>1816.4707669022519</v>
      </c>
    </row>
    <row r="57" spans="11:12" ht="12.75">
      <c r="K57" t="s">
        <v>232</v>
      </c>
      <c r="L57" s="10">
        <f t="shared" si="7"/>
        <v>1816.4707669022519</v>
      </c>
    </row>
    <row r="58" spans="11:12" ht="12.75">
      <c r="K58" t="s">
        <v>233</v>
      </c>
      <c r="L58" s="10">
        <f t="shared" si="7"/>
        <v>1816.4707669022519</v>
      </c>
    </row>
    <row r="59" spans="11:12" ht="12.75">
      <c r="K59" t="s">
        <v>235</v>
      </c>
      <c r="L59" s="10">
        <f t="shared" si="7"/>
        <v>1816.4707669022519</v>
      </c>
    </row>
    <row r="60" spans="11:12" ht="12.75">
      <c r="K60" t="s">
        <v>234</v>
      </c>
      <c r="L60" s="10">
        <f t="shared" si="7"/>
        <v>1816.4707669022519</v>
      </c>
    </row>
    <row r="61" ht="12.75">
      <c r="L61" s="10"/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portrait" scale="64" r:id="rId1"/>
  <headerFooter alignWithMargins="0">
    <oddFooter>&amp;L&amp;Z&amp;F&amp;R&amp;D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5.8515625" style="0" customWidth="1"/>
    <col min="2" max="2" width="26.57421875" style="0" customWidth="1"/>
    <col min="3" max="3" width="5.8515625" style="0" customWidth="1"/>
    <col min="4" max="4" width="6.140625" style="0" customWidth="1"/>
    <col min="5" max="5" width="8.421875" style="0" customWidth="1"/>
    <col min="6" max="6" width="7.7109375" style="0" customWidth="1"/>
    <col min="7" max="9" width="7.7109375" style="0" hidden="1" customWidth="1"/>
    <col min="10" max="14" width="9.140625" style="10" customWidth="1"/>
    <col min="15" max="15" width="8.57421875" style="10" customWidth="1"/>
    <col min="16" max="17" width="9.140625" style="10" customWidth="1"/>
  </cols>
  <sheetData>
    <row r="1" spans="1:17" ht="18" customHeight="1" thickBot="1">
      <c r="A1" s="124" t="s">
        <v>295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2.75">
      <c r="A2" s="52"/>
      <c r="B2" s="80"/>
      <c r="C2" s="80"/>
      <c r="D2" s="80"/>
      <c r="E2" s="80"/>
      <c r="F2" s="80"/>
      <c r="G2" s="80"/>
      <c r="H2" s="80"/>
      <c r="I2" s="80" t="s">
        <v>208</v>
      </c>
      <c r="J2" s="81" t="s">
        <v>7</v>
      </c>
      <c r="K2" s="81" t="s">
        <v>10</v>
      </c>
      <c r="L2" s="81"/>
      <c r="M2" s="81"/>
      <c r="N2" s="81"/>
      <c r="O2" s="81"/>
      <c r="P2" s="81" t="s">
        <v>7</v>
      </c>
      <c r="Q2" s="81"/>
    </row>
    <row r="3" spans="1:17" ht="12.75">
      <c r="A3" s="52"/>
      <c r="B3" s="80"/>
      <c r="C3" s="80"/>
      <c r="D3" s="80"/>
      <c r="E3" s="80" t="s">
        <v>6</v>
      </c>
      <c r="F3" s="80" t="s">
        <v>4</v>
      </c>
      <c r="G3" s="80"/>
      <c r="H3" s="80"/>
      <c r="I3" s="80" t="s">
        <v>209</v>
      </c>
      <c r="J3" s="81" t="s">
        <v>8</v>
      </c>
      <c r="K3" s="81" t="s">
        <v>11</v>
      </c>
      <c r="L3" s="81"/>
      <c r="M3" s="81"/>
      <c r="N3" s="81"/>
      <c r="O3" s="81"/>
      <c r="P3" s="81" t="s">
        <v>15</v>
      </c>
      <c r="Q3" s="81" t="s">
        <v>7</v>
      </c>
    </row>
    <row r="4" spans="1:17" ht="13.5" thickBot="1">
      <c r="A4" s="82" t="s">
        <v>0</v>
      </c>
      <c r="B4" s="83" t="s">
        <v>1</v>
      </c>
      <c r="C4" s="83" t="s">
        <v>2</v>
      </c>
      <c r="D4" s="83" t="s">
        <v>3</v>
      </c>
      <c r="E4" s="83" t="s">
        <v>5</v>
      </c>
      <c r="F4" s="83" t="s">
        <v>5</v>
      </c>
      <c r="G4" s="83" t="s">
        <v>207</v>
      </c>
      <c r="H4" s="83" t="s">
        <v>14</v>
      </c>
      <c r="I4" s="83" t="s">
        <v>41</v>
      </c>
      <c r="J4" s="84" t="s">
        <v>9</v>
      </c>
      <c r="K4" s="84" t="s">
        <v>12</v>
      </c>
      <c r="L4" s="84" t="s">
        <v>4</v>
      </c>
      <c r="M4" s="84" t="s">
        <v>13</v>
      </c>
      <c r="N4" s="84" t="s">
        <v>60</v>
      </c>
      <c r="O4" s="84" t="s">
        <v>14</v>
      </c>
      <c r="P4" s="84" t="s">
        <v>9</v>
      </c>
      <c r="Q4" s="84" t="s">
        <v>9</v>
      </c>
    </row>
    <row r="5" spans="1:17" ht="12.75">
      <c r="A5" s="52" t="s">
        <v>46</v>
      </c>
      <c r="B5" s="85" t="s">
        <v>196</v>
      </c>
      <c r="C5" s="80" t="s">
        <v>59</v>
      </c>
      <c r="D5" s="80">
        <v>1</v>
      </c>
      <c r="E5" s="95">
        <v>0.6</v>
      </c>
      <c r="F5" s="95">
        <v>0.73</v>
      </c>
      <c r="G5" s="86">
        <f>+$E5*('Machinery Cost'!E5+'Machinery Cost'!E7)</f>
        <v>4.3313999999999995</v>
      </c>
      <c r="H5" s="86">
        <f>+$E5*('Machinery Cost'!F5+'Machinery Cost'!F7)</f>
        <v>4.731510000000001</v>
      </c>
      <c r="I5" s="86">
        <f>+E5*('Machinery Cost'!G5+'Machinery Cost'!H5+'Machinery Cost'!I5+'Machinery Cost'!G7+'Machinery Cost'!H7+'Machinery Cost'!I7)</f>
        <v>1.6781249999999999</v>
      </c>
      <c r="J5" s="86">
        <f>+G5+H5+I5</f>
        <v>10.741035</v>
      </c>
      <c r="K5" s="86">
        <f>+E5*('Machinery Cost'!M5+'Machinery Cost'!M7)</f>
        <v>24.918375</v>
      </c>
      <c r="L5" s="86">
        <f>+F5*'Basic Input Costs'!C$46</f>
        <v>10.219999999999999</v>
      </c>
      <c r="M5" s="86">
        <v>0</v>
      </c>
      <c r="N5" s="86">
        <v>0</v>
      </c>
      <c r="O5" s="86">
        <f>(SUM(K5:N5))*(3/12)*'Basic Input Costs'!C$49</f>
        <v>0.6808060156249999</v>
      </c>
      <c r="P5" s="86">
        <f>SUM(K5:O5)</f>
        <v>35.819181015625</v>
      </c>
      <c r="Q5" s="86">
        <f>+P5+J5</f>
        <v>46.560216015625</v>
      </c>
    </row>
    <row r="6" spans="1:17" ht="12.75">
      <c r="A6" s="52" t="s">
        <v>47</v>
      </c>
      <c r="B6" s="85" t="s">
        <v>62</v>
      </c>
      <c r="C6" s="80" t="s">
        <v>59</v>
      </c>
      <c r="D6" s="80">
        <v>1</v>
      </c>
      <c r="E6" s="95">
        <v>0</v>
      </c>
      <c r="F6" s="95">
        <v>0</v>
      </c>
      <c r="G6" s="86"/>
      <c r="H6" s="86"/>
      <c r="I6" s="86"/>
      <c r="J6" s="86">
        <v>0</v>
      </c>
      <c r="K6" s="86">
        <v>0</v>
      </c>
      <c r="L6" s="86">
        <f>+F6*'Basic Input Costs'!C$46</f>
        <v>0</v>
      </c>
      <c r="M6" s="86">
        <f>+'Year 1 IS'!E12</f>
        <v>7.5</v>
      </c>
      <c r="N6" s="86">
        <f>+'Year 1 IS'!E13+'Year 1 IS'!E14+'Year 1 IS'!E15</f>
        <v>171</v>
      </c>
      <c r="O6" s="86">
        <f>(SUM(K6:N6))*(3/12)*'Basic Input Costs'!C$49</f>
        <v>3.4584375</v>
      </c>
      <c r="P6" s="86">
        <f>SUM(K6:O6)</f>
        <v>181.9584375</v>
      </c>
      <c r="Q6" s="86">
        <f aca="true" t="shared" si="0" ref="Q6:Q26">+P6+J6</f>
        <v>181.9584375</v>
      </c>
    </row>
    <row r="7" spans="1:17" ht="12.75">
      <c r="A7" s="52" t="s">
        <v>61</v>
      </c>
      <c r="B7" s="87" t="s">
        <v>197</v>
      </c>
      <c r="C7" s="80" t="s">
        <v>59</v>
      </c>
      <c r="D7" s="80">
        <v>1</v>
      </c>
      <c r="E7" s="95">
        <v>0.3</v>
      </c>
      <c r="F7" s="95">
        <v>0.4</v>
      </c>
      <c r="G7" s="86">
        <f>+$E7*('Machinery Cost'!E5+'Machinery Cost'!E9)</f>
        <v>2.6176</v>
      </c>
      <c r="H7" s="86">
        <f>+$E7*('Machinery Cost'!F5+'Machinery Cost'!F9)</f>
        <v>2.8257600000000003</v>
      </c>
      <c r="I7" s="86">
        <f>+E7*('Machinery Cost'!G5+'Machinery Cost'!H5+'Machinery Cost'!I5+'Machinery Cost'!G9+'Machinery Cost'!H9+'Machinery Cost'!I9)</f>
        <v>1.074</v>
      </c>
      <c r="J7" s="86">
        <f>+G7+H7+I7</f>
        <v>6.51736</v>
      </c>
      <c r="K7" s="86">
        <f>+E7*('Machinery Cost'!M5+'Machinery Cost'!M9)</f>
        <v>13.185</v>
      </c>
      <c r="L7" s="86">
        <f>+F7*'Basic Input Costs'!C$46</f>
        <v>5.6000000000000005</v>
      </c>
      <c r="M7" s="86">
        <v>0</v>
      </c>
      <c r="N7" s="86">
        <v>0</v>
      </c>
      <c r="O7" s="86">
        <f>(SUM(K7:N7))*(3/12)*'Basic Input Costs'!C$49</f>
        <v>0.363959375</v>
      </c>
      <c r="P7" s="86">
        <f aca="true" t="shared" si="1" ref="P7:P26">SUM(K7:O7)</f>
        <v>19.148959375</v>
      </c>
      <c r="Q7" s="86">
        <f t="shared" si="0"/>
        <v>25.666319375</v>
      </c>
    </row>
    <row r="8" spans="1:17" ht="12.75">
      <c r="A8" s="52" t="s">
        <v>48</v>
      </c>
      <c r="B8" s="85" t="s">
        <v>63</v>
      </c>
      <c r="C8" s="80" t="s">
        <v>59</v>
      </c>
      <c r="D8" s="80">
        <v>1</v>
      </c>
      <c r="E8" s="95">
        <v>0</v>
      </c>
      <c r="F8" s="95">
        <v>0</v>
      </c>
      <c r="G8" s="86"/>
      <c r="H8" s="86"/>
      <c r="I8" s="86"/>
      <c r="J8" s="86">
        <v>0</v>
      </c>
      <c r="K8" s="86">
        <v>0</v>
      </c>
      <c r="L8" s="86">
        <f>+F8*'Basic Input Costs'!C$46</f>
        <v>0</v>
      </c>
      <c r="M8" s="86">
        <f>+'Year 1 IS'!E8</f>
        <v>50</v>
      </c>
      <c r="N8" s="86">
        <v>0</v>
      </c>
      <c r="O8" s="86">
        <f>(SUM(K8:N8))*(3/12)*'Basic Input Costs'!C$49</f>
        <v>0.96875</v>
      </c>
      <c r="P8" s="86">
        <f t="shared" si="1"/>
        <v>50.96875</v>
      </c>
      <c r="Q8" s="86">
        <f t="shared" si="0"/>
        <v>50.96875</v>
      </c>
    </row>
    <row r="9" spans="1:17" ht="12.75">
      <c r="A9" s="52" t="s">
        <v>49</v>
      </c>
      <c r="B9" s="85" t="s">
        <v>64</v>
      </c>
      <c r="C9" s="80" t="s">
        <v>59</v>
      </c>
      <c r="D9" s="80">
        <v>1</v>
      </c>
      <c r="E9" s="95">
        <v>0</v>
      </c>
      <c r="F9" s="95">
        <v>0</v>
      </c>
      <c r="G9" s="86"/>
      <c r="H9" s="86"/>
      <c r="I9" s="86"/>
      <c r="J9" s="86">
        <v>0</v>
      </c>
      <c r="K9" s="86">
        <v>0</v>
      </c>
      <c r="L9" s="86">
        <f>+F9*'Basic Input Costs'!C$46</f>
        <v>0</v>
      </c>
      <c r="M9" s="86">
        <f>+'Basic Input Costs'!C31</f>
        <v>300</v>
      </c>
      <c r="N9" s="86">
        <f>+'Year 1 IS'!E11</f>
        <v>1760</v>
      </c>
      <c r="O9" s="86">
        <f>(SUM(K9:N9))*(3/12)*'Basic Input Costs'!C$49</f>
        <v>39.9125</v>
      </c>
      <c r="P9" s="86">
        <f t="shared" si="1"/>
        <v>2099.9125</v>
      </c>
      <c r="Q9" s="86">
        <f t="shared" si="0"/>
        <v>2099.9125</v>
      </c>
    </row>
    <row r="10" spans="1:17" ht="12.75">
      <c r="A10" s="52" t="s">
        <v>49</v>
      </c>
      <c r="B10" s="85" t="s">
        <v>65</v>
      </c>
      <c r="C10" s="80" t="s">
        <v>59</v>
      </c>
      <c r="D10" s="80">
        <v>1</v>
      </c>
      <c r="E10" s="95">
        <v>0</v>
      </c>
      <c r="F10" s="95">
        <v>2</v>
      </c>
      <c r="G10" s="86"/>
      <c r="H10" s="86"/>
      <c r="I10" s="86"/>
      <c r="J10" s="86">
        <v>0</v>
      </c>
      <c r="K10" s="86">
        <v>0</v>
      </c>
      <c r="L10" s="86">
        <f>+'Year 1 IS'!E10</f>
        <v>20</v>
      </c>
      <c r="M10" s="86">
        <v>0</v>
      </c>
      <c r="N10" s="86">
        <v>0</v>
      </c>
      <c r="O10" s="86">
        <f>(SUM(K10:N10))*(3/12)*'Basic Input Costs'!C$49</f>
        <v>0.3875</v>
      </c>
      <c r="P10" s="86">
        <f t="shared" si="1"/>
        <v>20.3875</v>
      </c>
      <c r="Q10" s="86">
        <f t="shared" si="0"/>
        <v>20.3875</v>
      </c>
    </row>
    <row r="11" spans="1:17" ht="12.75">
      <c r="A11" s="52" t="s">
        <v>161</v>
      </c>
      <c r="B11" s="85" t="s">
        <v>198</v>
      </c>
      <c r="C11" s="80" t="s">
        <v>59</v>
      </c>
      <c r="D11" s="80">
        <v>1</v>
      </c>
      <c r="E11" s="95">
        <v>0.52</v>
      </c>
      <c r="F11" s="95">
        <v>0.62</v>
      </c>
      <c r="G11" s="86">
        <f>+E11*'Machinery Cost'!E6</f>
        <v>0.40444444444444444</v>
      </c>
      <c r="H11" s="86">
        <f>+E11*'Machinery Cost'!F6</f>
        <v>1.0616666666666668</v>
      </c>
      <c r="I11" s="86">
        <f>+E11*('Machinery Cost'!G6+'Machinery Cost'!H6+'Machinery Cost'!I6)</f>
        <v>0.32578</v>
      </c>
      <c r="J11" s="86">
        <f>+G11+H11+I11</f>
        <v>1.791891111111111</v>
      </c>
      <c r="K11" s="86">
        <f>+E11*'Machinery Cost'!M6</f>
        <v>7.420009999999999</v>
      </c>
      <c r="L11" s="86">
        <f>+F11*'Basic Input Costs'!C$46</f>
        <v>8.68</v>
      </c>
      <c r="M11" s="86">
        <v>0</v>
      </c>
      <c r="N11" s="86">
        <v>0</v>
      </c>
      <c r="O11" s="86">
        <f>(SUM(K11:N11))*(3/12)*'Basic Input Costs'!C$49</f>
        <v>0.31193769374999997</v>
      </c>
      <c r="P11" s="86">
        <f t="shared" si="1"/>
        <v>16.411947693749998</v>
      </c>
      <c r="Q11" s="86">
        <f t="shared" si="0"/>
        <v>18.203838804861107</v>
      </c>
    </row>
    <row r="12" spans="1:17" ht="12.75">
      <c r="A12" s="52" t="s">
        <v>50</v>
      </c>
      <c r="B12" s="85" t="s">
        <v>199</v>
      </c>
      <c r="C12" s="80" t="s">
        <v>73</v>
      </c>
      <c r="D12" s="80">
        <v>1</v>
      </c>
      <c r="E12" s="95">
        <v>0.46</v>
      </c>
      <c r="F12" s="95">
        <v>0.55</v>
      </c>
      <c r="G12" s="86">
        <f>+E12*('Machinery Cost'!E6+'Machinery Cost'!E8)</f>
        <v>1.392777777777778</v>
      </c>
      <c r="H12" s="86">
        <f>+E12*('Machinery Cost'!F6+'Machinery Cost'!F8)</f>
        <v>1.603291666666667</v>
      </c>
      <c r="I12" s="86">
        <f>+'Year 1 SOP'!E12*('Machinery Cost'!G6+'Machinery Cost'!H6+'Machinery Cost'!I6+'Machinery Cost'!G8+'Machinery Cost'!H8+'Machinery Cost'!I8)</f>
        <v>0.5969650000000001</v>
      </c>
      <c r="J12" s="86">
        <f>+G12+H12+I12</f>
        <v>3.593034444444445</v>
      </c>
      <c r="K12" s="86">
        <f>+E12*('Machinery Cost'!M6+'Machinery Cost'!M8)</f>
        <v>7.517779999999998</v>
      </c>
      <c r="L12" s="86">
        <f>+F12*'Basic Input Costs'!C$46</f>
        <v>7.700000000000001</v>
      </c>
      <c r="M12" s="86">
        <v>0</v>
      </c>
      <c r="N12" s="86">
        <v>0</v>
      </c>
      <c r="O12" s="86">
        <f>(SUM(K12:N12))*(2/12)*'Basic Input Costs'!C$49</f>
        <v>0.19656299166666666</v>
      </c>
      <c r="P12" s="86">
        <f t="shared" si="1"/>
        <v>15.414342991666667</v>
      </c>
      <c r="Q12" s="86">
        <f t="shared" si="0"/>
        <v>19.007377436111113</v>
      </c>
    </row>
    <row r="13" spans="1:17" ht="12.75">
      <c r="A13" s="52" t="s">
        <v>51</v>
      </c>
      <c r="B13" s="85" t="s">
        <v>200</v>
      </c>
      <c r="C13" s="80" t="s">
        <v>73</v>
      </c>
      <c r="D13" s="80">
        <v>1</v>
      </c>
      <c r="E13" s="95">
        <v>0.15</v>
      </c>
      <c r="F13" s="95">
        <v>0.18</v>
      </c>
      <c r="G13" s="86">
        <f>+E13*('Machinery Cost'!E6+'Machinery Cost'!E12)</f>
        <v>0.7253666666666666</v>
      </c>
      <c r="H13" s="86">
        <f>+E13*('Machinery Cost'!F6+'Machinery Cost'!F12)</f>
        <v>0.618205</v>
      </c>
      <c r="I13" s="86">
        <f>+E13*('Machinery Cost'!G6+'Machinery Cost'!H6+'Machinery Cost'!I6+'Machinery Cost'!G12+'Machinery Cost'!H12+'Machinery Cost'!I12)</f>
        <v>0.228225</v>
      </c>
      <c r="J13" s="86">
        <f>+G13+H13+I13</f>
        <v>1.5717966666666667</v>
      </c>
      <c r="K13" s="86">
        <f>+E13*('Machinery Cost'!M6+'Machinery Cost'!M12)</f>
        <v>2.5551374999999994</v>
      </c>
      <c r="L13" s="86">
        <f>+F13*'Basic Input Costs'!C$46</f>
        <v>2.52</v>
      </c>
      <c r="M13" s="86">
        <v>0</v>
      </c>
      <c r="N13" s="86">
        <f>+'Year 1 IS'!E16</f>
        <v>9</v>
      </c>
      <c r="O13" s="86">
        <f>(SUM(K13:N13))*(2/12)*'Basic Input Costs'!C$49</f>
        <v>0.181803859375</v>
      </c>
      <c r="P13" s="86">
        <f t="shared" si="1"/>
        <v>14.256941359375</v>
      </c>
      <c r="Q13" s="86">
        <f t="shared" si="0"/>
        <v>15.828738026041666</v>
      </c>
    </row>
    <row r="14" spans="1:17" ht="12.75">
      <c r="A14" s="52" t="s">
        <v>52</v>
      </c>
      <c r="B14" s="85" t="s">
        <v>66</v>
      </c>
      <c r="C14" s="80" t="s">
        <v>74</v>
      </c>
      <c r="D14" s="80">
        <v>1</v>
      </c>
      <c r="E14" s="96" t="s">
        <v>78</v>
      </c>
      <c r="F14" s="95">
        <v>0.8</v>
      </c>
      <c r="G14" s="86">
        <f>+'Machinery Cost'!E18</f>
        <v>70.83333333333334</v>
      </c>
      <c r="H14" s="86">
        <f>+'Machinery Cost'!F18</f>
        <v>74.37500000000001</v>
      </c>
      <c r="I14" s="86">
        <f>+'Machinery Cost'!G18+'Machinery Cost'!H18</f>
        <v>4.5600000000000005</v>
      </c>
      <c r="J14" s="86">
        <f>+G14+H14+I14</f>
        <v>149.76833333333337</v>
      </c>
      <c r="K14" s="86">
        <f>+'Machinery Cost'!M18</f>
        <v>27.34</v>
      </c>
      <c r="L14" s="86">
        <f>+F14*'Basic Input Costs'!C$46</f>
        <v>11.200000000000001</v>
      </c>
      <c r="M14" s="86">
        <v>0</v>
      </c>
      <c r="N14" s="86">
        <f>+'Year 1 IS'!E23+'Year 1 IS'!E24</f>
        <v>110</v>
      </c>
      <c r="O14" s="86">
        <f>(SUM(K14:N14))*(6/12)*'Basic Input Costs'!C$49</f>
        <v>5.7559249999999995</v>
      </c>
      <c r="P14" s="86">
        <f t="shared" si="1"/>
        <v>154.29592499999998</v>
      </c>
      <c r="Q14" s="86">
        <f t="shared" si="0"/>
        <v>304.0642583333333</v>
      </c>
    </row>
    <row r="15" spans="1:17" ht="12.75">
      <c r="A15" s="52" t="s">
        <v>79</v>
      </c>
      <c r="B15" s="85" t="s">
        <v>79</v>
      </c>
      <c r="C15" s="80" t="s">
        <v>75</v>
      </c>
      <c r="D15" s="80">
        <v>1</v>
      </c>
      <c r="E15" s="95">
        <v>0</v>
      </c>
      <c r="F15" s="95">
        <v>6</v>
      </c>
      <c r="G15" s="86"/>
      <c r="H15" s="86"/>
      <c r="I15" s="86"/>
      <c r="J15" s="86">
        <v>0</v>
      </c>
      <c r="K15" s="86">
        <v>0</v>
      </c>
      <c r="L15" s="86">
        <f>+'Year 1 IS'!E19</f>
        <v>150</v>
      </c>
      <c r="M15" s="86">
        <v>0</v>
      </c>
      <c r="N15" s="86">
        <v>0</v>
      </c>
      <c r="O15" s="86">
        <f>(SUM(K15:N15))*(1/12)*'Basic Input Costs'!C$49</f>
        <v>0.96875</v>
      </c>
      <c r="P15" s="86">
        <f t="shared" si="1"/>
        <v>150.96875</v>
      </c>
      <c r="Q15" s="86">
        <f t="shared" si="0"/>
        <v>150.96875</v>
      </c>
    </row>
    <row r="16" spans="1:17" ht="12.75">
      <c r="A16" s="52" t="s">
        <v>50</v>
      </c>
      <c r="B16" s="85" t="s">
        <v>199</v>
      </c>
      <c r="C16" s="80" t="s">
        <v>75</v>
      </c>
      <c r="D16" s="80">
        <v>1</v>
      </c>
      <c r="E16" s="95">
        <v>0.91</v>
      </c>
      <c r="F16" s="95">
        <v>1.1</v>
      </c>
      <c r="G16" s="86">
        <f>+E16*('Machinery Cost'!E6+'Machinery Cost'!E8)</f>
        <v>2.7552777777777777</v>
      </c>
      <c r="H16" s="86">
        <f>+E16*('Machinery Cost'!F6+'Machinery Cost'!F8)</f>
        <v>3.171729166666667</v>
      </c>
      <c r="I16" s="86">
        <f>+E16*('Machinery Cost'!G6+'Machinery Cost'!H6+'Machinery Cost'!I6+'Machinery Cost'!G8+'Machinery Cost'!H8+'Machinery Cost'!I8)</f>
        <v>1.1809525000000003</v>
      </c>
      <c r="J16" s="86">
        <f>+G16+H16+I16</f>
        <v>7.107959444444445</v>
      </c>
      <c r="K16" s="86">
        <f>+E16*('Machinery Cost'!M6+'Machinery Cost'!M8)</f>
        <v>14.872129999999997</v>
      </c>
      <c r="L16" s="86">
        <f>+F16*'Basic Input Costs'!C$46</f>
        <v>15.400000000000002</v>
      </c>
      <c r="M16" s="86">
        <v>0</v>
      </c>
      <c r="N16" s="86">
        <v>0</v>
      </c>
      <c r="O16" s="86">
        <f>(SUM(K16:N16))*(1/12)*'Basic Input Costs'!C$49</f>
        <v>0.19550750624999996</v>
      </c>
      <c r="P16" s="86">
        <f t="shared" si="1"/>
        <v>30.467637506249996</v>
      </c>
      <c r="Q16" s="86">
        <f t="shared" si="0"/>
        <v>37.57559695069444</v>
      </c>
    </row>
    <row r="17" spans="1:17" ht="12.75">
      <c r="A17" s="52" t="s">
        <v>51</v>
      </c>
      <c r="B17" s="85" t="s">
        <v>200</v>
      </c>
      <c r="C17" s="80" t="s">
        <v>75</v>
      </c>
      <c r="D17" s="80">
        <v>1</v>
      </c>
      <c r="E17" s="95">
        <v>0.15</v>
      </c>
      <c r="F17" s="95">
        <v>0.18</v>
      </c>
      <c r="G17" s="86">
        <f>+E17*('Machinery Cost'!E6+'Machinery Cost'!E12)</f>
        <v>0.7253666666666666</v>
      </c>
      <c r="H17" s="86">
        <f>+E17*('Machinery Cost'!F6+'Machinery Cost'!F12)</f>
        <v>0.618205</v>
      </c>
      <c r="I17" s="86">
        <f>+E17*('Machinery Cost'!G6+'Machinery Cost'!H6+'Machinery Cost'!I6+'Machinery Cost'!G12+'Machinery Cost'!H12+'Machinery Cost'!I12)</f>
        <v>0.228225</v>
      </c>
      <c r="J17" s="86">
        <f>+G17+H17+I17</f>
        <v>1.5717966666666667</v>
      </c>
      <c r="K17" s="86">
        <f>+E17*('Machinery Cost'!M5+'Machinery Cost'!M12)</f>
        <v>6.219225</v>
      </c>
      <c r="L17" s="86">
        <f>+F17*'Basic Input Costs'!C$46</f>
        <v>2.52</v>
      </c>
      <c r="M17" s="86">
        <v>0</v>
      </c>
      <c r="N17" s="86">
        <f>+'Year 1 IS'!E17</f>
        <v>13.33</v>
      </c>
      <c r="O17" s="86">
        <f>(SUM(K17:N17))*(1/12)*'Basic Input Costs'!C$49</f>
        <v>0.1425304114583333</v>
      </c>
      <c r="P17" s="86">
        <f t="shared" si="1"/>
        <v>22.211755411458334</v>
      </c>
      <c r="Q17" s="86">
        <f t="shared" si="0"/>
        <v>23.783552078125002</v>
      </c>
    </row>
    <row r="18" spans="1:17" ht="12.75">
      <c r="A18" s="52" t="s">
        <v>53</v>
      </c>
      <c r="B18" s="85" t="s">
        <v>200</v>
      </c>
      <c r="C18" s="80" t="s">
        <v>76</v>
      </c>
      <c r="D18" s="80">
        <v>1</v>
      </c>
      <c r="E18" s="95">
        <v>0.5</v>
      </c>
      <c r="F18" s="95">
        <v>0.6</v>
      </c>
      <c r="G18" s="86">
        <f>+E18*('Machinery Cost'!E6+'Machinery Cost'!E12)</f>
        <v>2.4178888888888888</v>
      </c>
      <c r="H18" s="86">
        <f>+E18*('Machinery Cost'!F6+'Machinery Cost'!F12)</f>
        <v>2.0606833333333334</v>
      </c>
      <c r="I18" s="86">
        <f>+E18*('Machinery Cost'!G6+'Machinery Cost'!H6+'Machinery Cost'!I6+'Machinery Cost'!G12+'Machinery Cost'!H12+'Machinery Cost'!I12)</f>
        <v>0.76075</v>
      </c>
      <c r="J18" s="86">
        <f>+G18+H18+I18</f>
        <v>5.239322222222222</v>
      </c>
      <c r="K18" s="86">
        <f>+E18*('Machinery Cost'!M6+'Machinery Cost'!M12)</f>
        <v>8.517124999999998</v>
      </c>
      <c r="L18" s="86">
        <f>+F18*'Basic Input Costs'!C$46</f>
        <v>8.4</v>
      </c>
      <c r="M18" s="86">
        <v>0</v>
      </c>
      <c r="N18" s="86">
        <f>+'Year 1 IS'!E18</f>
        <v>4.68</v>
      </c>
      <c r="O18" s="86">
        <f>(SUM(K18:N18))*(0/12)*'Basic Input Costs'!C$49</f>
        <v>0</v>
      </c>
      <c r="P18" s="86">
        <f t="shared" si="1"/>
        <v>21.597125</v>
      </c>
      <c r="Q18" s="86">
        <f t="shared" si="0"/>
        <v>26.83644722222222</v>
      </c>
    </row>
    <row r="19" spans="1:17" ht="12.75">
      <c r="A19" s="52" t="s">
        <v>54</v>
      </c>
      <c r="B19" s="85" t="s">
        <v>67</v>
      </c>
      <c r="C19" s="80" t="s">
        <v>76</v>
      </c>
      <c r="D19" s="80">
        <v>1</v>
      </c>
      <c r="E19" s="95">
        <v>0</v>
      </c>
      <c r="F19" s="95">
        <v>0</v>
      </c>
      <c r="G19" s="86"/>
      <c r="H19" s="86"/>
      <c r="I19" s="86"/>
      <c r="J19" s="86">
        <v>0</v>
      </c>
      <c r="K19" s="86">
        <v>0</v>
      </c>
      <c r="L19" s="86">
        <f>+F19*'Basic Input Costs'!C$46</f>
        <v>0</v>
      </c>
      <c r="M19" s="86">
        <f>+'Year 1 IS'!E20</f>
        <v>7.5</v>
      </c>
      <c r="N19" s="86">
        <f>+'Year 1 IS'!E22+'Year 1 IS'!E21</f>
        <v>27.906800000000004</v>
      </c>
      <c r="O19" s="86">
        <f>(SUM(K19:N19))*(0/12)*'Basic Input Costs'!C$49</f>
        <v>0</v>
      </c>
      <c r="P19" s="86">
        <f t="shared" si="1"/>
        <v>35.406800000000004</v>
      </c>
      <c r="Q19" s="86">
        <f t="shared" si="0"/>
        <v>35.406800000000004</v>
      </c>
    </row>
    <row r="20" spans="1:17" ht="12.75">
      <c r="A20" s="52" t="s">
        <v>55</v>
      </c>
      <c r="B20" s="88" t="s">
        <v>68</v>
      </c>
      <c r="C20" s="80" t="s">
        <v>77</v>
      </c>
      <c r="D20" s="80">
        <v>1</v>
      </c>
      <c r="E20" s="95">
        <v>0</v>
      </c>
      <c r="F20" s="95">
        <v>0</v>
      </c>
      <c r="G20" s="86"/>
      <c r="H20" s="86"/>
      <c r="I20" s="86"/>
      <c r="J20" s="86">
        <f>+'Basic Input Costs'!C48*'Year 6-15 IS '!E5</f>
        <v>234.5</v>
      </c>
      <c r="K20" s="86">
        <v>0</v>
      </c>
      <c r="L20" s="86">
        <f>+F20*'Basic Input Costs'!C$46</f>
        <v>0</v>
      </c>
      <c r="M20" s="86">
        <v>0</v>
      </c>
      <c r="N20" s="86">
        <v>0</v>
      </c>
      <c r="O20" s="86">
        <f>(SUM(K20:N20))*(0/12)*'Basic Input Costs'!C$49</f>
        <v>0</v>
      </c>
      <c r="P20" s="86">
        <f t="shared" si="1"/>
        <v>0</v>
      </c>
      <c r="Q20" s="86">
        <f t="shared" si="0"/>
        <v>234.5</v>
      </c>
    </row>
    <row r="21" spans="1:17" ht="12.75">
      <c r="A21" s="52" t="s">
        <v>31</v>
      </c>
      <c r="B21" s="85" t="s">
        <v>69</v>
      </c>
      <c r="C21" s="80" t="s">
        <v>77</v>
      </c>
      <c r="D21" s="80">
        <v>1</v>
      </c>
      <c r="E21" s="95">
        <v>0.25</v>
      </c>
      <c r="F21" s="95">
        <v>0</v>
      </c>
      <c r="G21" s="86">
        <f>+E21*'Machinery Cost'!E15</f>
        <v>2.1875</v>
      </c>
      <c r="H21" s="86">
        <f>+E21*'Machinery Cost'!F15</f>
        <v>0.9041666666666667</v>
      </c>
      <c r="I21" s="86">
        <f>+E21*('Machinery Cost'!G15+'Machinery Cost'!H15+'Machinery Cost'!I15)</f>
        <v>0.38783333333333336</v>
      </c>
      <c r="J21" s="86">
        <f>+G21+H21+I21</f>
        <v>3.4795000000000003</v>
      </c>
      <c r="K21" s="86">
        <f>+E21*'Machinery Cost'!M15</f>
        <v>3.7856666666666667</v>
      </c>
      <c r="L21" s="86">
        <f>+F21*'Basic Input Costs'!C$46</f>
        <v>0</v>
      </c>
      <c r="M21" s="86">
        <v>0</v>
      </c>
      <c r="N21" s="86">
        <v>0</v>
      </c>
      <c r="O21" s="86">
        <f>(SUM(K21:N21))*(6/12)*'Basic Input Costs'!C$49</f>
        <v>0.14669458333333332</v>
      </c>
      <c r="P21" s="86">
        <f t="shared" si="1"/>
        <v>3.93236125</v>
      </c>
      <c r="Q21" s="86">
        <f t="shared" si="0"/>
        <v>7.41186125</v>
      </c>
    </row>
    <row r="22" spans="1:17" ht="12.75">
      <c r="A22" s="52" t="s">
        <v>56</v>
      </c>
      <c r="B22" s="85" t="s">
        <v>69</v>
      </c>
      <c r="C22" s="80" t="s">
        <v>77</v>
      </c>
      <c r="D22" s="80">
        <v>1</v>
      </c>
      <c r="E22" s="95">
        <v>0.75</v>
      </c>
      <c r="F22" s="95">
        <v>0</v>
      </c>
      <c r="G22" s="86">
        <f>+E22*'Machinery Cost'!E14</f>
        <v>5.769230769230769</v>
      </c>
      <c r="H22" s="86">
        <f>+E22*'Machinery Cost'!F14</f>
        <v>2.019230769230769</v>
      </c>
      <c r="I22" s="86">
        <f>+E22*('Machinery Cost'!G14+'Machinery Cost'!H14+'Machinery Cost'!I14)</f>
        <v>0.6300000000000001</v>
      </c>
      <c r="J22" s="86">
        <f>+E22*'Machinery Cost'!J14</f>
        <v>8.418461538461539</v>
      </c>
      <c r="K22" s="86">
        <f>+E22*'Machinery Cost'!M15</f>
        <v>11.357</v>
      </c>
      <c r="L22" s="86">
        <f>+F22*'Basic Input Costs'!C$46</f>
        <v>0</v>
      </c>
      <c r="M22" s="86">
        <v>0</v>
      </c>
      <c r="N22" s="86">
        <v>0</v>
      </c>
      <c r="O22" s="86">
        <f>(SUM(K22:N22))*(6/12)*'Basic Input Costs'!C$49</f>
        <v>0.44008375</v>
      </c>
      <c r="P22" s="86">
        <f t="shared" si="1"/>
        <v>11.797083749999999</v>
      </c>
      <c r="Q22" s="86">
        <f t="shared" si="0"/>
        <v>20.215545288461538</v>
      </c>
    </row>
    <row r="23" spans="1:17" ht="12.75">
      <c r="A23" s="52" t="s">
        <v>57</v>
      </c>
      <c r="B23" s="85" t="s">
        <v>237</v>
      </c>
      <c r="C23" s="80" t="s">
        <v>77</v>
      </c>
      <c r="D23" s="80">
        <v>1</v>
      </c>
      <c r="E23" s="95">
        <v>0</v>
      </c>
      <c r="F23" s="95">
        <v>0</v>
      </c>
      <c r="G23" s="86"/>
      <c r="H23" s="86"/>
      <c r="I23" s="86"/>
      <c r="J23" s="86">
        <f>+'Year 1 IS'!C38</f>
        <v>566.6666666666666</v>
      </c>
      <c r="K23" s="86">
        <v>0</v>
      </c>
      <c r="L23" s="86">
        <f>+F23*'Basic Input Costs'!C$46</f>
        <v>0</v>
      </c>
      <c r="M23" s="86">
        <v>0</v>
      </c>
      <c r="N23" s="86">
        <v>0</v>
      </c>
      <c r="O23" s="86">
        <f>(SUM(K23:N23))*(6/12)*'Basic Input Costs'!C$49</f>
        <v>0</v>
      </c>
      <c r="P23" s="86">
        <f t="shared" si="1"/>
        <v>0</v>
      </c>
      <c r="Q23" s="86">
        <f t="shared" si="0"/>
        <v>566.6666666666666</v>
      </c>
    </row>
    <row r="24" spans="1:17" ht="12.75">
      <c r="A24" s="52" t="s">
        <v>40</v>
      </c>
      <c r="B24" s="85" t="s">
        <v>70</v>
      </c>
      <c r="C24" s="80" t="s">
        <v>77</v>
      </c>
      <c r="D24" s="80">
        <v>1</v>
      </c>
      <c r="E24" s="95">
        <v>0</v>
      </c>
      <c r="F24" s="95">
        <v>0</v>
      </c>
      <c r="G24" s="86"/>
      <c r="H24" s="86"/>
      <c r="I24" s="86"/>
      <c r="J24" s="86">
        <f>+'Basic Input Costs'!C44</f>
        <v>134.6</v>
      </c>
      <c r="K24" s="86">
        <v>0</v>
      </c>
      <c r="L24" s="86">
        <f>+F24*'Basic Input Costs'!C$46</f>
        <v>0</v>
      </c>
      <c r="M24" s="86">
        <v>0</v>
      </c>
      <c r="N24" s="86">
        <v>0</v>
      </c>
      <c r="O24" s="86">
        <f>(SUM(K24:N24))*(6/12)*'Basic Input Costs'!C$49</f>
        <v>0</v>
      </c>
      <c r="P24" s="86">
        <f t="shared" si="1"/>
        <v>0</v>
      </c>
      <c r="Q24" s="86">
        <f t="shared" si="0"/>
        <v>134.6</v>
      </c>
    </row>
    <row r="25" spans="1:17" ht="12.75">
      <c r="A25" s="52" t="s">
        <v>40</v>
      </c>
      <c r="B25" s="85" t="s">
        <v>189</v>
      </c>
      <c r="C25" s="80" t="s">
        <v>77</v>
      </c>
      <c r="D25" s="80">
        <v>1</v>
      </c>
      <c r="E25" s="95">
        <v>0</v>
      </c>
      <c r="F25" s="95">
        <v>0</v>
      </c>
      <c r="G25" s="86"/>
      <c r="H25" s="86"/>
      <c r="I25" s="86"/>
      <c r="J25" s="86">
        <f>+L27*'Basic Input Costs'!C47</f>
        <v>41.18080000000001</v>
      </c>
      <c r="K25" s="86">
        <v>0</v>
      </c>
      <c r="L25" s="86">
        <f>+F25*'Basic Input Costs'!C$46</f>
        <v>0</v>
      </c>
      <c r="M25" s="86">
        <v>0</v>
      </c>
      <c r="N25" s="86">
        <v>0</v>
      </c>
      <c r="O25" s="86">
        <f>(SUM(K25:N25))*(6/12)*'Basic Input Costs'!C$49</f>
        <v>0</v>
      </c>
      <c r="P25" s="86">
        <f>SUM(K25:O25)</f>
        <v>0</v>
      </c>
      <c r="Q25" s="86">
        <f>+P25+J25</f>
        <v>41.18080000000001</v>
      </c>
    </row>
    <row r="26" spans="1:17" s="15" customFormat="1" ht="15.75" customHeight="1" thickBot="1">
      <c r="A26" s="79" t="s">
        <v>58</v>
      </c>
      <c r="B26" s="89" t="s">
        <v>71</v>
      </c>
      <c r="C26" s="90" t="s">
        <v>77</v>
      </c>
      <c r="D26" s="90">
        <v>1</v>
      </c>
      <c r="E26" s="97">
        <v>0</v>
      </c>
      <c r="F26" s="97">
        <v>0</v>
      </c>
      <c r="G26" s="91"/>
      <c r="H26" s="91"/>
      <c r="I26" s="91"/>
      <c r="J26" s="91">
        <v>0</v>
      </c>
      <c r="K26" s="91">
        <v>0</v>
      </c>
      <c r="L26" s="91">
        <f>+F26*'Basic Input Costs'!C$46</f>
        <v>0</v>
      </c>
      <c r="M26" s="91">
        <v>0</v>
      </c>
      <c r="N26" s="91">
        <f>+'Year 1 IS'!E28</f>
        <v>60</v>
      </c>
      <c r="O26" s="91">
        <f>(SUM(K26:N26))*(6/12)*'Basic Input Costs'!C$49</f>
        <v>2.325</v>
      </c>
      <c r="P26" s="91">
        <f t="shared" si="1"/>
        <v>62.325</v>
      </c>
      <c r="Q26" s="91">
        <f t="shared" si="0"/>
        <v>62.325</v>
      </c>
    </row>
    <row r="27" spans="1:17" ht="18" customHeight="1" thickBot="1">
      <c r="A27" s="92" t="s">
        <v>72</v>
      </c>
      <c r="B27" s="93" t="s">
        <v>72</v>
      </c>
      <c r="C27" s="92"/>
      <c r="D27" s="92"/>
      <c r="E27" s="94">
        <f>SUM(E5:E26)</f>
        <v>4.59</v>
      </c>
      <c r="F27" s="94">
        <f aca="true" t="shared" si="2" ref="F27:Q27">SUM(F5:F26)</f>
        <v>13.159999999999998</v>
      </c>
      <c r="G27" s="94">
        <f>SUM(G5:G26)</f>
        <v>94.16018632478634</v>
      </c>
      <c r="H27" s="94">
        <f>SUM(H5:H26)</f>
        <v>93.98944826923079</v>
      </c>
      <c r="I27" s="94">
        <f>SUM(I5:I26)</f>
        <v>11.650855833333335</v>
      </c>
      <c r="J27" s="94">
        <f t="shared" si="2"/>
        <v>1176.747957094017</v>
      </c>
      <c r="K27" s="94">
        <f t="shared" si="2"/>
        <v>127.68744916666665</v>
      </c>
      <c r="L27" s="94">
        <f t="shared" si="2"/>
        <v>242.24000000000004</v>
      </c>
      <c r="M27" s="94">
        <f t="shared" si="2"/>
        <v>365</v>
      </c>
      <c r="N27" s="94">
        <f t="shared" si="2"/>
        <v>2155.9168</v>
      </c>
      <c r="O27" s="94">
        <f t="shared" si="2"/>
        <v>56.43674868645834</v>
      </c>
      <c r="P27" s="94">
        <f t="shared" si="2"/>
        <v>2947.280997853125</v>
      </c>
      <c r="Q27" s="94">
        <f t="shared" si="2"/>
        <v>4124.028954947143</v>
      </c>
    </row>
    <row r="28" spans="5:9" ht="12.75">
      <c r="E28" s="10"/>
      <c r="F28" s="10"/>
      <c r="G28" s="10"/>
      <c r="H28" s="10"/>
      <c r="I28" s="10"/>
    </row>
    <row r="29" spans="5:9" ht="12.75">
      <c r="E29" s="10"/>
      <c r="F29" s="10"/>
      <c r="G29" s="10"/>
      <c r="H29" s="10"/>
      <c r="I29" s="10"/>
    </row>
  </sheetData>
  <sheetProtection/>
  <mergeCells count="1">
    <mergeCell ref="A1:Q1"/>
  </mergeCells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Footer>&amp;L&amp;Z&amp;F&amp;R&amp;D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4.7109375" style="0" bestFit="1" customWidth="1"/>
    <col min="2" max="2" width="9.140625" style="1" customWidth="1"/>
    <col min="3" max="3" width="9.8515625" style="0" customWidth="1"/>
    <col min="4" max="4" width="10.57421875" style="0" customWidth="1"/>
    <col min="5" max="5" width="10.421875" style="0" customWidth="1"/>
  </cols>
  <sheetData>
    <row r="1" spans="1:5" s="15" customFormat="1" ht="18" customHeight="1" thickBot="1">
      <c r="A1" s="125" t="s">
        <v>296</v>
      </c>
      <c r="B1" s="125"/>
      <c r="C1" s="125"/>
      <c r="D1" s="125"/>
      <c r="E1" s="125"/>
    </row>
    <row r="2" spans="1:5" ht="12.75">
      <c r="A2" s="52"/>
      <c r="B2" s="80"/>
      <c r="C2" s="80" t="s">
        <v>82</v>
      </c>
      <c r="D2" s="80"/>
      <c r="E2" s="80" t="s">
        <v>85</v>
      </c>
    </row>
    <row r="3" spans="1:5" ht="13.5" thickBot="1">
      <c r="A3" s="82"/>
      <c r="B3" s="83" t="s">
        <v>81</v>
      </c>
      <c r="C3" s="83" t="s">
        <v>83</v>
      </c>
      <c r="D3" s="83" t="s">
        <v>84</v>
      </c>
      <c r="E3" s="83" t="s">
        <v>9</v>
      </c>
    </row>
    <row r="4" spans="1:5" ht="12.75">
      <c r="A4" s="98" t="s">
        <v>141</v>
      </c>
      <c r="B4" s="99"/>
      <c r="C4" s="99"/>
      <c r="D4" s="99"/>
      <c r="E4" s="99"/>
    </row>
    <row r="5" spans="1:5" ht="12.75">
      <c r="A5" s="98" t="s">
        <v>142</v>
      </c>
      <c r="B5" s="99" t="s">
        <v>105</v>
      </c>
      <c r="C5" s="100">
        <f>+'Basic Input Costs'!C5</f>
        <v>0.67</v>
      </c>
      <c r="D5" s="101">
        <f>+'Basic Input Costs'!C6</f>
        <v>0</v>
      </c>
      <c r="E5" s="101">
        <f>+D5*C5</f>
        <v>0</v>
      </c>
    </row>
    <row r="6" spans="1:5" ht="12.75">
      <c r="A6" s="98"/>
      <c r="B6" s="99"/>
      <c r="C6" s="99"/>
      <c r="D6" s="99"/>
      <c r="E6" s="99"/>
    </row>
    <row r="7" spans="1:5" ht="12.75">
      <c r="A7" s="52" t="s">
        <v>80</v>
      </c>
      <c r="B7" s="80"/>
      <c r="C7" s="52"/>
      <c r="D7" s="52"/>
      <c r="E7" s="52"/>
    </row>
    <row r="8" spans="1:5" ht="12.75">
      <c r="A8" s="52" t="s">
        <v>63</v>
      </c>
      <c r="B8" s="80" t="s">
        <v>103</v>
      </c>
      <c r="C8" s="86">
        <f>+'Basic Input Costs'!C30</f>
        <v>50</v>
      </c>
      <c r="D8" s="95">
        <v>1</v>
      </c>
      <c r="E8" s="86">
        <f>+D8*C8</f>
        <v>50</v>
      </c>
    </row>
    <row r="9" spans="1:5" ht="12.75">
      <c r="A9" s="52" t="s">
        <v>64</v>
      </c>
      <c r="B9" s="80" t="s">
        <v>103</v>
      </c>
      <c r="C9" s="86">
        <f>+'Basic Input Costs'!C31</f>
        <v>300</v>
      </c>
      <c r="D9" s="95">
        <v>1</v>
      </c>
      <c r="E9" s="86">
        <f aca="true" t="shared" si="0" ref="E9:E28">+D9*C9</f>
        <v>300</v>
      </c>
    </row>
    <row r="10" spans="1:5" ht="12.75">
      <c r="A10" s="52" t="s">
        <v>65</v>
      </c>
      <c r="B10" s="80" t="s">
        <v>103</v>
      </c>
      <c r="C10" s="86">
        <f>+'Basic Input Costs'!C32</f>
        <v>20</v>
      </c>
      <c r="D10" s="95">
        <v>1</v>
      </c>
      <c r="E10" s="86">
        <f>+D10*C10</f>
        <v>20</v>
      </c>
    </row>
    <row r="11" spans="1:5" ht="12.75">
      <c r="A11" s="52" t="s">
        <v>86</v>
      </c>
      <c r="B11" s="80" t="s">
        <v>104</v>
      </c>
      <c r="C11" s="86">
        <f>+'Basic Input Costs'!C9</f>
        <v>80</v>
      </c>
      <c r="D11" s="95">
        <v>22</v>
      </c>
      <c r="E11" s="86">
        <f t="shared" si="0"/>
        <v>1760</v>
      </c>
    </row>
    <row r="12" spans="1:5" ht="12.75">
      <c r="A12" s="52" t="s">
        <v>62</v>
      </c>
      <c r="B12" s="80" t="s">
        <v>103</v>
      </c>
      <c r="C12" s="86">
        <f>+'Basic Input Costs'!C33</f>
        <v>7.5</v>
      </c>
      <c r="D12" s="95">
        <v>1</v>
      </c>
      <c r="E12" s="86">
        <f t="shared" si="0"/>
        <v>7.5</v>
      </c>
    </row>
    <row r="13" spans="1:6" ht="12.75">
      <c r="A13" s="52" t="s">
        <v>87</v>
      </c>
      <c r="B13" s="80" t="s">
        <v>105</v>
      </c>
      <c r="C13" s="86">
        <f>+'Basic Input Costs'!C11</f>
        <v>0.75</v>
      </c>
      <c r="D13" s="95">
        <v>75</v>
      </c>
      <c r="E13" s="86">
        <f t="shared" si="0"/>
        <v>56.25</v>
      </c>
      <c r="F13" s="10"/>
    </row>
    <row r="14" spans="1:5" ht="12.75">
      <c r="A14" s="52" t="s">
        <v>88</v>
      </c>
      <c r="B14" s="80" t="s">
        <v>105</v>
      </c>
      <c r="C14" s="86">
        <f>+'Basic Input Costs'!C12</f>
        <v>0.84</v>
      </c>
      <c r="D14" s="95">
        <v>45</v>
      </c>
      <c r="E14" s="86">
        <f t="shared" si="0"/>
        <v>37.8</v>
      </c>
    </row>
    <row r="15" spans="1:5" ht="12.75">
      <c r="A15" s="52" t="s">
        <v>89</v>
      </c>
      <c r="B15" s="80" t="s">
        <v>105</v>
      </c>
      <c r="C15" s="86">
        <f>+'Basic Input Costs'!C10</f>
        <v>0.57</v>
      </c>
      <c r="D15" s="95">
        <v>135</v>
      </c>
      <c r="E15" s="86">
        <f t="shared" si="0"/>
        <v>76.94999999999999</v>
      </c>
    </row>
    <row r="16" spans="1:5" ht="12.75">
      <c r="A16" s="52" t="s">
        <v>90</v>
      </c>
      <c r="B16" s="80" t="s">
        <v>106</v>
      </c>
      <c r="C16" s="86">
        <f>+'Basic Input Costs'!C13</f>
        <v>36</v>
      </c>
      <c r="D16" s="95">
        <v>0.25</v>
      </c>
      <c r="E16" s="86">
        <f t="shared" si="0"/>
        <v>9</v>
      </c>
    </row>
    <row r="17" spans="1:5" ht="12.75">
      <c r="A17" s="52" t="s">
        <v>91</v>
      </c>
      <c r="B17" s="80" t="s">
        <v>105</v>
      </c>
      <c r="C17" s="86">
        <f>+'Basic Input Costs'!C14</f>
        <v>13.33</v>
      </c>
      <c r="D17" s="95">
        <v>1</v>
      </c>
      <c r="E17" s="86">
        <f t="shared" si="0"/>
        <v>13.33</v>
      </c>
    </row>
    <row r="18" spans="1:5" ht="12.75">
      <c r="A18" s="52" t="s">
        <v>176</v>
      </c>
      <c r="B18" s="80" t="s">
        <v>106</v>
      </c>
      <c r="C18" s="86">
        <f>+'Basic Input Costs'!C13</f>
        <v>36</v>
      </c>
      <c r="D18" s="95">
        <v>0.13</v>
      </c>
      <c r="E18" s="86">
        <f t="shared" si="0"/>
        <v>4.68</v>
      </c>
    </row>
    <row r="19" spans="1:5" ht="12.75">
      <c r="A19" s="52" t="s">
        <v>79</v>
      </c>
      <c r="B19" s="80" t="s">
        <v>103</v>
      </c>
      <c r="C19" s="86">
        <f>+'Basic Input Costs'!C35</f>
        <v>150</v>
      </c>
      <c r="D19" s="95">
        <v>1</v>
      </c>
      <c r="E19" s="86">
        <f>+D19*C19</f>
        <v>150</v>
      </c>
    </row>
    <row r="20" spans="1:5" ht="12.75">
      <c r="A20" s="52" t="s">
        <v>92</v>
      </c>
      <c r="B20" s="80" t="s">
        <v>103</v>
      </c>
      <c r="C20" s="86">
        <f>+'Basic Input Costs'!C34</f>
        <v>7.5</v>
      </c>
      <c r="D20" s="95">
        <v>1</v>
      </c>
      <c r="E20" s="86">
        <f t="shared" si="0"/>
        <v>7.5</v>
      </c>
    </row>
    <row r="21" spans="1:6" ht="12.75">
      <c r="A21" s="52" t="s">
        <v>93</v>
      </c>
      <c r="B21" s="80" t="s">
        <v>106</v>
      </c>
      <c r="C21" s="86">
        <f>+'Basic Input Costs'!C16</f>
        <v>147.36</v>
      </c>
      <c r="D21" s="95">
        <v>0.13</v>
      </c>
      <c r="E21" s="86">
        <f t="shared" si="0"/>
        <v>19.156800000000004</v>
      </c>
      <c r="F21" s="10"/>
    </row>
    <row r="22" spans="1:6" ht="12.75">
      <c r="A22" s="52" t="s">
        <v>94</v>
      </c>
      <c r="B22" s="80" t="s">
        <v>106</v>
      </c>
      <c r="C22" s="86">
        <f>+'Basic Input Costs'!C17</f>
        <v>35</v>
      </c>
      <c r="D22" s="95">
        <v>0.25</v>
      </c>
      <c r="E22" s="86">
        <f t="shared" si="0"/>
        <v>8.75</v>
      </c>
      <c r="F22" s="10"/>
    </row>
    <row r="23" spans="1:5" ht="12.75">
      <c r="A23" s="52" t="s">
        <v>95</v>
      </c>
      <c r="B23" s="80" t="s">
        <v>103</v>
      </c>
      <c r="C23" s="86">
        <f>+'Basic Input Costs'!C38</f>
        <v>60</v>
      </c>
      <c r="D23" s="95">
        <v>1</v>
      </c>
      <c r="E23" s="86">
        <f t="shared" si="0"/>
        <v>60</v>
      </c>
    </row>
    <row r="24" spans="1:5" ht="12.75">
      <c r="A24" s="52" t="s">
        <v>96</v>
      </c>
      <c r="B24" s="80" t="s">
        <v>103</v>
      </c>
      <c r="C24" s="86">
        <f>+'Basic Input Costs'!C39</f>
        <v>50</v>
      </c>
      <c r="D24" s="95">
        <v>1</v>
      </c>
      <c r="E24" s="86">
        <f t="shared" si="0"/>
        <v>50</v>
      </c>
    </row>
    <row r="25" spans="1:5" ht="12.75">
      <c r="A25" s="52" t="s">
        <v>206</v>
      </c>
      <c r="B25" s="80" t="s">
        <v>103</v>
      </c>
      <c r="C25" s="86">
        <f>+'Year 1 SOP'!K27</f>
        <v>127.68744916666665</v>
      </c>
      <c r="D25" s="95">
        <v>1</v>
      </c>
      <c r="E25" s="86">
        <f t="shared" si="0"/>
        <v>127.68744916666665</v>
      </c>
    </row>
    <row r="26" spans="1:5" ht="12.75">
      <c r="A26" s="52" t="s">
        <v>137</v>
      </c>
      <c r="B26" s="80" t="s">
        <v>103</v>
      </c>
      <c r="C26" s="86">
        <f>+'Year 1 SOP'!L27-'Year 1 SOP'!L15-'Year 1 SOP'!L10</f>
        <v>72.24000000000004</v>
      </c>
      <c r="D26" s="95">
        <v>1</v>
      </c>
      <c r="E26" s="86">
        <f t="shared" si="0"/>
        <v>72.24000000000004</v>
      </c>
    </row>
    <row r="27" spans="1:5" ht="12.75">
      <c r="A27" s="52" t="s">
        <v>97</v>
      </c>
      <c r="B27" s="80" t="s">
        <v>103</v>
      </c>
      <c r="C27" s="86">
        <f>+'Year 1 SOP'!O27</f>
        <v>56.43674868645834</v>
      </c>
      <c r="D27" s="95">
        <v>1</v>
      </c>
      <c r="E27" s="86">
        <f t="shared" si="0"/>
        <v>56.43674868645834</v>
      </c>
    </row>
    <row r="28" spans="1:5" ht="12.75">
      <c r="A28" s="52" t="s">
        <v>58</v>
      </c>
      <c r="B28" s="80" t="s">
        <v>103</v>
      </c>
      <c r="C28" s="86">
        <f>+'Basic Input Costs'!C42</f>
        <v>60</v>
      </c>
      <c r="D28" s="95">
        <v>1</v>
      </c>
      <c r="E28" s="86">
        <f t="shared" si="0"/>
        <v>60</v>
      </c>
    </row>
    <row r="29" spans="1:5" ht="12.75">
      <c r="A29" s="52"/>
      <c r="B29" s="80"/>
      <c r="C29" s="86"/>
      <c r="D29" s="86"/>
      <c r="E29" s="86"/>
    </row>
    <row r="30" spans="1:5" ht="12.75">
      <c r="A30" s="52" t="s">
        <v>98</v>
      </c>
      <c r="B30" s="80"/>
      <c r="C30" s="86"/>
      <c r="D30" s="86"/>
      <c r="E30" s="86">
        <f>SUM(E8:E28)</f>
        <v>2947.2809978531254</v>
      </c>
    </row>
    <row r="31" spans="1:5" ht="12.75">
      <c r="A31" s="52"/>
      <c r="B31" s="80"/>
      <c r="C31" s="86"/>
      <c r="D31" s="86"/>
      <c r="E31" s="86"/>
    </row>
    <row r="32" spans="1:5" ht="12.75">
      <c r="A32" s="52" t="s">
        <v>99</v>
      </c>
      <c r="B32" s="80"/>
      <c r="C32" s="86"/>
      <c r="D32" s="86"/>
      <c r="E32" s="86"/>
    </row>
    <row r="33" spans="1:5" ht="12.75">
      <c r="A33" s="52" t="s">
        <v>100</v>
      </c>
      <c r="B33" s="80" t="s">
        <v>103</v>
      </c>
      <c r="C33" s="86">
        <f>+'Year 1 SOP'!G27</f>
        <v>94.16018632478634</v>
      </c>
      <c r="D33" s="95">
        <v>1</v>
      </c>
      <c r="E33" s="86">
        <f aca="true" t="shared" si="1" ref="E33:E39">+D33*C33</f>
        <v>94.16018632478634</v>
      </c>
    </row>
    <row r="34" spans="1:5" ht="12.75">
      <c r="A34" s="52" t="s">
        <v>101</v>
      </c>
      <c r="B34" s="80" t="s">
        <v>103</v>
      </c>
      <c r="C34" s="86">
        <f>+'Year 1 SOP'!H27</f>
        <v>93.98944826923079</v>
      </c>
      <c r="D34" s="95">
        <v>1</v>
      </c>
      <c r="E34" s="86">
        <f t="shared" si="1"/>
        <v>93.98944826923079</v>
      </c>
    </row>
    <row r="35" spans="1:5" ht="12.75">
      <c r="A35" s="52" t="s">
        <v>102</v>
      </c>
      <c r="B35" s="80" t="s">
        <v>103</v>
      </c>
      <c r="C35" s="86">
        <f>+'Year 1 SOP'!I27</f>
        <v>11.650855833333335</v>
      </c>
      <c r="D35" s="95">
        <v>1</v>
      </c>
      <c r="E35" s="86">
        <f t="shared" si="1"/>
        <v>11.650855833333335</v>
      </c>
    </row>
    <row r="36" spans="1:5" ht="12.75">
      <c r="A36" s="52" t="s">
        <v>107</v>
      </c>
      <c r="B36" s="80" t="s">
        <v>103</v>
      </c>
      <c r="C36" s="86">
        <f>+'Basic Input Costs'!C44</f>
        <v>134.6</v>
      </c>
      <c r="D36" s="95">
        <v>1</v>
      </c>
      <c r="E36" s="86">
        <f t="shared" si="1"/>
        <v>134.6</v>
      </c>
    </row>
    <row r="37" spans="1:5" ht="12.75">
      <c r="A37" s="52" t="s">
        <v>189</v>
      </c>
      <c r="B37" s="80" t="s">
        <v>103</v>
      </c>
      <c r="C37" s="86">
        <f>+'Year 1 SOP'!J25</f>
        <v>41.18080000000001</v>
      </c>
      <c r="D37" s="95">
        <v>1</v>
      </c>
      <c r="E37" s="86">
        <f>+D37*C37</f>
        <v>41.18080000000001</v>
      </c>
    </row>
    <row r="38" spans="1:5" ht="12.75">
      <c r="A38" s="85" t="s">
        <v>237</v>
      </c>
      <c r="B38" s="80" t="s">
        <v>103</v>
      </c>
      <c r="C38" s="86">
        <f>+'Basic Input Costs'!C43</f>
        <v>566.6666666666666</v>
      </c>
      <c r="D38" s="95">
        <v>1</v>
      </c>
      <c r="E38" s="86">
        <f t="shared" si="1"/>
        <v>566.6666666666666</v>
      </c>
    </row>
    <row r="39" spans="1:5" ht="12.75">
      <c r="A39" s="52" t="s">
        <v>55</v>
      </c>
      <c r="B39" s="80" t="s">
        <v>103</v>
      </c>
      <c r="C39" s="86">
        <f>+'Year 1 SOP'!J20</f>
        <v>234.5</v>
      </c>
      <c r="D39" s="95">
        <v>1</v>
      </c>
      <c r="E39" s="86">
        <f t="shared" si="1"/>
        <v>234.5</v>
      </c>
    </row>
    <row r="40" spans="1:5" ht="12.75">
      <c r="A40" s="52"/>
      <c r="B40" s="80"/>
      <c r="C40" s="86"/>
      <c r="D40" s="86"/>
      <c r="E40" s="86"/>
    </row>
    <row r="41" spans="1:5" ht="12.75">
      <c r="A41" s="52" t="s">
        <v>109</v>
      </c>
      <c r="B41" s="80"/>
      <c r="C41" s="86"/>
      <c r="D41" s="86"/>
      <c r="E41" s="86">
        <f>SUM(E33:E39)</f>
        <v>1176.7479570940172</v>
      </c>
    </row>
    <row r="42" spans="1:5" ht="12.75">
      <c r="A42" s="52"/>
      <c r="B42" s="80"/>
      <c r="C42" s="86"/>
      <c r="D42" s="86"/>
      <c r="E42" s="86"/>
    </row>
    <row r="43" spans="1:5" ht="12.75">
      <c r="A43" s="52" t="s">
        <v>108</v>
      </c>
      <c r="B43" s="80"/>
      <c r="C43" s="86"/>
      <c r="D43" s="86"/>
      <c r="E43" s="86">
        <f>+E41+E30</f>
        <v>4124.028954947143</v>
      </c>
    </row>
    <row r="44" spans="1:5" ht="12.75">
      <c r="A44" s="52"/>
      <c r="B44" s="80"/>
      <c r="C44" s="86"/>
      <c r="D44" s="86"/>
      <c r="E44" s="86"/>
    </row>
    <row r="45" spans="1:5" s="15" customFormat="1" ht="18" customHeight="1" thickBot="1">
      <c r="A45" s="79" t="s">
        <v>144</v>
      </c>
      <c r="B45" s="90"/>
      <c r="C45" s="91"/>
      <c r="D45" s="91"/>
      <c r="E45" s="91">
        <f>+E5-E43</f>
        <v>-4124.028954947143</v>
      </c>
    </row>
  </sheetData>
  <sheetProtection/>
  <mergeCells count="1">
    <mergeCell ref="A1:E1"/>
  </mergeCells>
  <printOptions/>
  <pageMargins left="1" right="0.75" top="1" bottom="1" header="0.5" footer="0.5"/>
  <pageSetup fitToHeight="1" fitToWidth="1" horizontalDpi="600" verticalDpi="600" orientation="portrait" r:id="rId1"/>
  <headerFooter alignWithMargins="0">
    <oddFooter>&amp;L&amp;Z&amp;F&amp;R&amp;D</oddFooter>
  </headerFooter>
  <ignoredErrors>
    <ignoredError sqref="C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sneibergs</dc:creator>
  <cp:keywords/>
  <dc:description/>
  <cp:lastModifiedBy>kdupin</cp:lastModifiedBy>
  <cp:lastPrinted>2009-01-22T00:42:34Z</cp:lastPrinted>
  <dcterms:created xsi:type="dcterms:W3CDTF">2008-08-07T17:28:58Z</dcterms:created>
  <dcterms:modified xsi:type="dcterms:W3CDTF">2009-08-19T16:09:01Z</dcterms:modified>
  <cp:category/>
  <cp:version/>
  <cp:contentType/>
  <cp:contentStatus/>
</cp:coreProperties>
</file>